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8" documentId="8_{DC5C0333-EA2E-4481-82CE-A13D2BBB5B07}" xr6:coauthVersionLast="47" xr6:coauthVersionMax="47" xr10:uidLastSave="{D1542C17-CD18-42EB-95E9-B75CF0EA012E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5" sheetId="73" r:id="rId67"/>
    <sheet name="327" sheetId="75" r:id="rId68"/>
    <sheet name="Div 4" sheetId="36" r:id="rId69"/>
    <sheet name="310 &amp; 491" sheetId="39" r:id="rId70"/>
    <sheet name="491" sheetId="42" r:id="rId71"/>
    <sheet name="405" sheetId="76" r:id="rId72"/>
    <sheet name="406" sheetId="77" r:id="rId73"/>
    <sheet name="411" sheetId="78" r:id="rId74"/>
    <sheet name="412" sheetId="79" r:id="rId75"/>
    <sheet name="413" sheetId="80" r:id="rId76"/>
    <sheet name="414" sheetId="81" r:id="rId77"/>
    <sheet name="415" sheetId="82" r:id="rId78"/>
    <sheet name="418" sheetId="83" r:id="rId79"/>
    <sheet name="423" sheetId="84" r:id="rId80"/>
    <sheet name="424" sheetId="85" r:id="rId81"/>
    <sheet name="425" sheetId="86" r:id="rId82"/>
    <sheet name="492" sheetId="45" r:id="rId83"/>
    <sheet name="430" sheetId="87" r:id="rId84"/>
    <sheet name="433" sheetId="88" r:id="rId85"/>
    <sheet name="435" sheetId="89" r:id="rId86"/>
    <sheet name="444" sheetId="90" r:id="rId87"/>
    <sheet name="450" sheetId="91" r:id="rId88"/>
    <sheet name="Div 5" sheetId="48" r:id="rId89"/>
    <sheet name="501" sheetId="92" r:id="rId90"/>
    <sheet name="Dept" sheetId="93" state="hidden" r:id="rId91"/>
    <sheet name="OSR_Dept_Y0WUKY" sheetId="94" state="hidden" r:id="rId92"/>
    <sheet name="OSR_Summary (...56e5d78f_5JEYZH" sheetId="95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5">'307'!$D$13:$D$16</definedName>
    <definedName name="OSRRefD13x_0" localSheetId="51">'308'!$D$13:$D$17</definedName>
    <definedName name="OSRRefD13x_0" localSheetId="64">'309'!$D$13:$D$16</definedName>
    <definedName name="OSRRefD13x_0" localSheetId="63">'310'!$D$13:$D$18</definedName>
    <definedName name="OSRRefD13x_0" localSheetId="69">'310 &amp; 491'!$D$13:$D$18</definedName>
    <definedName name="OSRRefD13x_0" localSheetId="52">'311'!$D$13:$D$17</definedName>
    <definedName name="OSRRefD13x_0" localSheetId="57">'315'!$D$13:$D$17</definedName>
    <definedName name="OSRRefD13x_0" localSheetId="60">'316'!$D$13:$D$17</definedName>
    <definedName name="OSRRefD13x_0" localSheetId="62">'317'!$D$13:$D$17</definedName>
    <definedName name="OSRRefD13x_0" localSheetId="65">'321'!$D$13:$D$14</definedName>
    <definedName name="OSRRefD13x_0" localSheetId="53">'324'!$D$13:$D$14</definedName>
    <definedName name="OSRRefD13x_0" localSheetId="66">'325'!$D$13:$D$14</definedName>
    <definedName name="OSRRefD13x_0" localSheetId="58">'326'!$D$13:$D$16</definedName>
    <definedName name="OSRRefD13x_0" localSheetId="67">'327'!$D$13:$D$15</definedName>
    <definedName name="OSRRefD13x_0" localSheetId="56">'331'!$D$13:$D$17</definedName>
    <definedName name="OSRRefD13x_0" localSheetId="59">'332'!$D$13:$D$17</definedName>
    <definedName name="OSRRefD13x_0" localSheetId="54">'333'!$D$13:$D$17</definedName>
    <definedName name="OSRRefD13x_0" localSheetId="71">'405'!$D$13:$D$16</definedName>
    <definedName name="OSRRefD13x_0" localSheetId="77">'415'!$D$13:$D$16</definedName>
    <definedName name="OSRRefD13x_0" localSheetId="78">'418'!$D$13:$D$14</definedName>
    <definedName name="OSRRefD13x_0" localSheetId="81">'425'!$D$13</definedName>
    <definedName name="OSRRefD13x_0" localSheetId="84">'433'!$D$13:$D$16</definedName>
    <definedName name="OSRRefD13x_0" localSheetId="85">'435'!$D$13:$D$14</definedName>
    <definedName name="OSRRefD13x_0" localSheetId="86">'444'!$D$13:$D$16</definedName>
    <definedName name="OSRRefD13x_0" localSheetId="87">'450'!$D$13:$D$16</definedName>
    <definedName name="OSRRefD13x_0" localSheetId="70">'491'!$D$13:$D$17</definedName>
    <definedName name="OSRRefD13x_0" localSheetId="82">'492'!$D$13:$D$18</definedName>
    <definedName name="OSRRefD13x_0" localSheetId="89">'501'!$D$13</definedName>
    <definedName name="OSRRefD13x_0" localSheetId="47">'Div 3'!$D$13:$D$23</definedName>
    <definedName name="OSRRefD13x_0" localSheetId="68">'Div 4'!$D$13:$D$20</definedName>
    <definedName name="OSRRefD13x_0" localSheetId="88">'Div 5'!$D$13</definedName>
    <definedName name="OSRRefD13x_0" localSheetId="61">'Div 6'!$D$13:$D$17</definedName>
    <definedName name="OSRRefD13x_0" localSheetId="2">Summary!$D$13:$D$25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5">'307'!$D$19:$D$28</definedName>
    <definedName name="OSRRefD16x_0" localSheetId="51">'308'!$D$20:$D$29</definedName>
    <definedName name="OSRRefD16x_0" localSheetId="64">'309'!$D$19:$D$20</definedName>
    <definedName name="OSRRefD16x_0" localSheetId="63">'310'!$D$21:$D$23</definedName>
    <definedName name="OSRRefD16x_0" localSheetId="69">'310 &amp; 491'!$D$21:$D$23</definedName>
    <definedName name="OSRRefD16x_0" localSheetId="52">'311'!$D$20:$D$29</definedName>
    <definedName name="OSRRefD16x_0" localSheetId="57">'315'!$D$20:$D$38</definedName>
    <definedName name="OSRRefD16x_0" localSheetId="60">'316'!$D$20:$D$21</definedName>
    <definedName name="OSRRefD16x_0" localSheetId="62">'317'!$D$20:$D$29</definedName>
    <definedName name="OSRRefD16x_0" localSheetId="65">'321'!$D$17:$D$18</definedName>
    <definedName name="OSRRefD16x_0" localSheetId="53">'324'!$D$17</definedName>
    <definedName name="OSRRefD16x_0" localSheetId="66">'325'!$D$17:$D$19</definedName>
    <definedName name="OSRRefD16x_0" localSheetId="58">'326'!$D$19:$D$22</definedName>
    <definedName name="OSRRefD16x_0" localSheetId="67">'327'!$D$18:$D$20</definedName>
    <definedName name="OSRRefD16x_0" localSheetId="56">'331'!$D$20:$D$38</definedName>
    <definedName name="OSRRefD16x_0" localSheetId="59">'332'!$D$20:$D$21</definedName>
    <definedName name="OSRRefD16x_0" localSheetId="54">'333'!$D$20:$D$40</definedName>
    <definedName name="OSRRefD16x_0" localSheetId="71">'405'!$D$19:$D$21</definedName>
    <definedName name="OSRRefD16x_0" localSheetId="77">'415'!$D$19:$D$21</definedName>
    <definedName name="OSRRefD16x_0" localSheetId="78">'418'!$D$17:$D$18</definedName>
    <definedName name="OSRRefD16x_0" localSheetId="81">'425'!$D$16</definedName>
    <definedName name="OSRRefD16x_0" localSheetId="84">'433'!$D$19:$D$21</definedName>
    <definedName name="OSRRefD16x_0" localSheetId="85">'435'!$D$17</definedName>
    <definedName name="OSRRefD16x_0" localSheetId="86">'444'!$D$19:$D$21</definedName>
    <definedName name="OSRRefD16x_0" localSheetId="87">'450'!$D$19:$D$21</definedName>
    <definedName name="OSRRefD16x_0" localSheetId="70">'491'!$D$20:$D$22</definedName>
    <definedName name="OSRRefD16x_0" localSheetId="82">'492'!$D$21:$D$23</definedName>
    <definedName name="OSRRefD16x_0" localSheetId="47">'Div 3'!$D$26:$D$54</definedName>
    <definedName name="OSRRefD16x_0" localSheetId="68">'Div 4'!$D$23:$D$25</definedName>
    <definedName name="OSRRefD16x_0" localSheetId="61">'Div 6'!$D$20:$D$29</definedName>
    <definedName name="OSRRefD16x_0" localSheetId="2">Summary!$D$28:$D$62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5">'307'!$D$34:$D$42</definedName>
    <definedName name="OSRRefD22_0x_0" localSheetId="51">'308'!$D$35:$D$44</definedName>
    <definedName name="OSRRefD22_0x_0" localSheetId="64">'309'!$D$26:$D$27</definedName>
    <definedName name="OSRRefD22_0x_0" localSheetId="63">'310'!$D$29:$D$38</definedName>
    <definedName name="OSRRefD22_0x_0" localSheetId="69">'310 &amp; 491'!$D$29:$D$38</definedName>
    <definedName name="OSRRefD22_0x_0" localSheetId="52">'311'!$D$35:$D$44</definedName>
    <definedName name="OSRRefD22_0x_0" localSheetId="57">'315'!$D$44:$D$52</definedName>
    <definedName name="OSRRefD22_0x_0" localSheetId="60">'316'!$D$27:$D$35</definedName>
    <definedName name="OSRRefD22_0x_0" localSheetId="62">'317'!$D$35:$D$44</definedName>
    <definedName name="OSRRefD22_0x_0" localSheetId="65">'321'!$D$24:$D$33</definedName>
    <definedName name="OSRRefD22_0x_0" localSheetId="66">'325'!$D$25:$D$33</definedName>
    <definedName name="OSRRefD22_0x_0" localSheetId="58">'326'!$D$28:$D$36</definedName>
    <definedName name="OSRRefD22_0x_0" localSheetId="67">'327'!$D$26</definedName>
    <definedName name="OSRRefD22_0x_0" localSheetId="56">'331'!$D$44:$D$52</definedName>
    <definedName name="OSRRefD22_0x_0" localSheetId="59">'332'!$D$27:$D$35</definedName>
    <definedName name="OSRRefD22_0x_0" localSheetId="54">'333'!$D$46:$D$54</definedName>
    <definedName name="OSRRefD22_0x_0" localSheetId="71">'405'!$D$27:$D$35</definedName>
    <definedName name="OSRRefD22_0x_0" localSheetId="72">'406'!$D$20</definedName>
    <definedName name="OSRRefD22_0x_0" localSheetId="73">'411'!$D$20:$D$28</definedName>
    <definedName name="OSRRefD22_0x_0" localSheetId="74">'412'!$D$20</definedName>
    <definedName name="OSRRefD22_0x_0" localSheetId="75">'413'!$D$20</definedName>
    <definedName name="OSRRefD22_0x_0" localSheetId="76">'414'!$D$20</definedName>
    <definedName name="OSRRefD22_0x_0" localSheetId="77">'415'!$D$27:$D$36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'425'!$D$22</definedName>
    <definedName name="OSRRefD22_0x_0" localSheetId="83">'430'!$D$20:$D$28</definedName>
    <definedName name="OSRRefD22_0x_0" localSheetId="84">'433'!$D$27:$D$36</definedName>
    <definedName name="OSRRefD22_0x_0" localSheetId="85">'435'!$D$23:$D$24</definedName>
    <definedName name="OSRRefD22_0x_0" localSheetId="86">'444'!$D$27:$D$36</definedName>
    <definedName name="OSRRefD22_0x_0" localSheetId="87">'450'!$D$27:$D$36</definedName>
    <definedName name="OSRRefD22_0x_0" localSheetId="70">'491'!$D$28:$D$37</definedName>
    <definedName name="OSRRefD22_0x_0" localSheetId="82">'492'!$D$29:$D$38</definedName>
    <definedName name="OSRRefD22_0x_0" localSheetId="89">'501'!$D$21:$D$30</definedName>
    <definedName name="OSRRefD22_0x_0" localSheetId="39">'Div 2'!$D$20:$D$30</definedName>
    <definedName name="OSRRefD22_0x_0" localSheetId="47">'Div 3'!$D$60:$D$69</definedName>
    <definedName name="OSRRefD22_0x_0" localSheetId="68">'Div 4'!$D$31:$D$40</definedName>
    <definedName name="OSRRefD22_0x_0" localSheetId="88">'Div 5'!$D$21:$D$30</definedName>
    <definedName name="OSRRefD22_0x_0" localSheetId="61">'Div 6'!$D$35:$D$44</definedName>
    <definedName name="OSRRefD22_0x_0" localSheetId="2">Summary!$D$68:$D$77</definedName>
    <definedName name="OSRRefD22_10x_0" localSheetId="41">'201'!$D$59:$D$60</definedName>
    <definedName name="OSRRefD22_10x_0" localSheetId="42">'202'!$D$60</definedName>
    <definedName name="OSRRefD22_10x_0" localSheetId="43">'203'!$D$61:$D$62</definedName>
    <definedName name="OSRRefD22_10x_0" localSheetId="44">'204'!$D$63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5">'307'!$D$73:$D$74</definedName>
    <definedName name="OSRRefD22_10x_0" localSheetId="51">'308'!$D$76:$D$77</definedName>
    <definedName name="OSRRefD22_10x_0" localSheetId="64">'309'!$D$50:$D$51</definedName>
    <definedName name="OSRRefD22_10x_0" localSheetId="63">'310'!$D$68</definedName>
    <definedName name="OSRRefD22_10x_0" localSheetId="69">'310 &amp; 491'!$D$69</definedName>
    <definedName name="OSRRefD22_10x_0" localSheetId="52">'311'!$D$76:$D$77</definedName>
    <definedName name="OSRRefD22_10x_0" localSheetId="57">'315'!$D$82</definedName>
    <definedName name="OSRRefD22_10x_0" localSheetId="60">'316'!$D$67:$D$71</definedName>
    <definedName name="OSRRefD22_10x_0" localSheetId="62">'317'!$D$74</definedName>
    <definedName name="OSRRefD22_10x_0" localSheetId="65">'321'!$D$66:$D$69</definedName>
    <definedName name="OSRRefD22_10x_0" localSheetId="66">'325'!$D$63</definedName>
    <definedName name="OSRRefD22_10x_0" localSheetId="58">'326'!$D$66</definedName>
    <definedName name="OSRRefD22_10x_0" localSheetId="56">'331'!$D$83</definedName>
    <definedName name="OSRRefD22_10x_0" localSheetId="59">'332'!$D$67:$D$71</definedName>
    <definedName name="OSRRefD22_10x_0" localSheetId="54">'333'!$D$86</definedName>
    <definedName name="OSRRefD22_10x_0" localSheetId="71">'405'!$D$66:$D$69</definedName>
    <definedName name="OSRRefD22_10x_0" localSheetId="73">'411'!$D$63</definedName>
    <definedName name="OSRRefD22_10x_0" localSheetId="77">'415'!$D$66</definedName>
    <definedName name="OSRRefD22_10x_0" localSheetId="78">'418'!$D$67</definedName>
    <definedName name="OSRRefD22_10x_0" localSheetId="84">'433'!$D$65</definedName>
    <definedName name="OSRRefD22_10x_0" localSheetId="86">'444'!$D$65</definedName>
    <definedName name="OSRRefD22_10x_0" localSheetId="87">'450'!$D$65</definedName>
    <definedName name="OSRRefD22_10x_0" localSheetId="70">'491'!$D$68</definedName>
    <definedName name="OSRRefD22_10x_0" localSheetId="82">'492'!$D$67</definedName>
    <definedName name="OSRRefD22_10x_0" localSheetId="89">'501'!$D$62</definedName>
    <definedName name="OSRRefD22_10x_0" localSheetId="39">'Div 2'!$D$60</definedName>
    <definedName name="OSRRefD22_10x_0" localSheetId="47">'Div 3'!$D$100:$D$101</definedName>
    <definedName name="OSRRefD22_10x_0" localSheetId="68">'Div 4'!$D$71</definedName>
    <definedName name="OSRRefD22_10x_0" localSheetId="88">'Div 5'!$D$62</definedName>
    <definedName name="OSRRefD22_10x_0" localSheetId="61">'Div 6'!$D$74</definedName>
    <definedName name="OSRRefD22_10x_0" localSheetId="2">Summary!$D$108:$D$109</definedName>
    <definedName name="OSRRefD22_11x_0" localSheetId="41">'201'!$D$62</definedName>
    <definedName name="OSRRefD22_11x_0" localSheetId="42">'202'!$D$62</definedName>
    <definedName name="OSRRefD22_11x_0" localSheetId="43">'203'!$D$64:$D$67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5">'307'!$D$76</definedName>
    <definedName name="OSRRefD22_11x_0" localSheetId="51">'308'!$D$79:$D$80</definedName>
    <definedName name="OSRRefD22_11x_0" localSheetId="64">'309'!$D$53</definedName>
    <definedName name="OSRRefD22_11x_0" localSheetId="63">'310'!$D$70:$D$72</definedName>
    <definedName name="OSRRefD22_11x_0" localSheetId="69">'310 &amp; 491'!$D$71</definedName>
    <definedName name="OSRRefD22_11x_0" localSheetId="52">'311'!$D$79:$D$80</definedName>
    <definedName name="OSRRefD22_11x_0" localSheetId="57">'315'!$D$84</definedName>
    <definedName name="OSRRefD22_11x_0" localSheetId="60">'316'!$D$73</definedName>
    <definedName name="OSRRefD22_11x_0" localSheetId="65">'321'!$D$71</definedName>
    <definedName name="OSRRefD22_11x_0" localSheetId="66">'325'!$D$65:$D$67</definedName>
    <definedName name="OSRRefD22_11x_0" localSheetId="58">'326'!$D$68:$D$69</definedName>
    <definedName name="OSRRefD22_11x_0" localSheetId="56">'331'!$D$85</definedName>
    <definedName name="OSRRefD22_11x_0" localSheetId="59">'332'!$D$73</definedName>
    <definedName name="OSRRefD22_11x_0" localSheetId="54">'333'!$D$88</definedName>
    <definedName name="OSRRefD22_11x_0" localSheetId="71">'405'!$D$71</definedName>
    <definedName name="OSRRefD22_11x_0" localSheetId="73">'411'!$D$65:$D$66</definedName>
    <definedName name="OSRRefD22_11x_0" localSheetId="77">'415'!$D$68:$D$69</definedName>
    <definedName name="OSRRefD22_11x_0" localSheetId="78">'418'!$D$69:$D$76</definedName>
    <definedName name="OSRRefD22_11x_0" localSheetId="84">'433'!$D$67:$D$69</definedName>
    <definedName name="OSRRefD22_11x_0" localSheetId="86">'444'!$D$67:$D$68</definedName>
    <definedName name="OSRRefD22_11x_0" localSheetId="87">'450'!$D$67:$D$69</definedName>
    <definedName name="OSRRefD22_11x_0" localSheetId="70">'491'!$D$70</definedName>
    <definedName name="OSRRefD22_11x_0" localSheetId="82">'492'!$D$69</definedName>
    <definedName name="OSRRefD22_11x_0" localSheetId="89">'501'!$D$64:$D$66</definedName>
    <definedName name="OSRRefD22_11x_0" localSheetId="39">'Div 2'!$D$62</definedName>
    <definedName name="OSRRefD22_11x_0" localSheetId="47">'Div 3'!$D$103:$D$104</definedName>
    <definedName name="OSRRefD22_11x_0" localSheetId="68">'Div 4'!$D$73</definedName>
    <definedName name="OSRRefD22_11x_0" localSheetId="88">'Div 5'!$D$64:$D$66</definedName>
    <definedName name="OSRRefD22_11x_0" localSheetId="2">Summary!$D$111:$D$113</definedName>
    <definedName name="OSRRefD22_12x_0" localSheetId="41">'201'!$D$64:$D$65</definedName>
    <definedName name="OSRRefD22_12x_0" localSheetId="42">'202'!$D$64</definedName>
    <definedName name="OSRRefD22_12x_0" localSheetId="43">'203'!$D$69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5">'307'!$D$78:$D$81</definedName>
    <definedName name="OSRRefD22_12x_0" localSheetId="51">'308'!$D$82:$D$83</definedName>
    <definedName name="OSRRefD22_12x_0" localSheetId="64">'309'!$D$55</definedName>
    <definedName name="OSRRefD22_12x_0" localSheetId="63">'310'!$D$74:$D$75</definedName>
    <definedName name="OSRRefD22_12x_0" localSheetId="69">'310 &amp; 491'!$D$73:$D$76</definedName>
    <definedName name="OSRRefD22_12x_0" localSheetId="52">'311'!$D$82:$D$83</definedName>
    <definedName name="OSRRefD22_12x_0" localSheetId="57">'315'!$D$86:$D$87</definedName>
    <definedName name="OSRRefD22_12x_0" localSheetId="65">'321'!$D$73</definedName>
    <definedName name="OSRRefD22_12x_0" localSheetId="66">'325'!$D$69:$D$71</definedName>
    <definedName name="OSRRefD22_12x_0" localSheetId="58">'326'!$D$71:$D$72</definedName>
    <definedName name="OSRRefD22_12x_0" localSheetId="56">'331'!$D$87</definedName>
    <definedName name="OSRRefD22_12x_0" localSheetId="54">'333'!$D$90</definedName>
    <definedName name="OSRRefD22_12x_0" localSheetId="71">'405'!$D$73:$D$81</definedName>
    <definedName name="OSRRefD22_12x_0" localSheetId="73">'411'!$D$68</definedName>
    <definedName name="OSRRefD22_12x_0" localSheetId="77">'415'!$D$71:$D$74</definedName>
    <definedName name="OSRRefD22_12x_0" localSheetId="78">'418'!$D$78:$D$79</definedName>
    <definedName name="OSRRefD22_12x_0" localSheetId="84">'433'!$D$71:$D$74</definedName>
    <definedName name="OSRRefD22_12x_0" localSheetId="86">'444'!$D$70:$D$73</definedName>
    <definedName name="OSRRefD22_12x_0" localSheetId="87">'450'!$D$71:$D$74</definedName>
    <definedName name="OSRRefD22_12x_0" localSheetId="70">'491'!$D$72:$D$75</definedName>
    <definedName name="OSRRefD22_12x_0" localSheetId="82">'492'!$D$71:$D$73</definedName>
    <definedName name="OSRRefD22_12x_0" localSheetId="89">'501'!$D$68</definedName>
    <definedName name="OSRRefD22_12x_0" localSheetId="39">'Div 2'!$D$64:$D$67</definedName>
    <definedName name="OSRRefD22_12x_0" localSheetId="47">'Div 3'!$D$106</definedName>
    <definedName name="OSRRefD22_12x_0" localSheetId="68">'Div 4'!$D$75</definedName>
    <definedName name="OSRRefD22_12x_0" localSheetId="88">'Div 5'!$D$68</definedName>
    <definedName name="OSRRefD22_12x_0" localSheetId="2">Summary!$D$115</definedName>
    <definedName name="OSRRefD22_13x_0" localSheetId="41">'201'!$D$67</definedName>
    <definedName name="OSRRefD22_13x_0" localSheetId="43">'203'!$D$71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55">'307'!$D$83</definedName>
    <definedName name="OSRRefD22_13x_0" localSheetId="51">'308'!$D$85</definedName>
    <definedName name="OSRRefD22_13x_0" localSheetId="63">'310'!$D$77:$D$79</definedName>
    <definedName name="OSRRefD22_13x_0" localSheetId="69">'310 &amp; 491'!$D$78:$D$79</definedName>
    <definedName name="OSRRefD22_13x_0" localSheetId="52">'311'!$D$85</definedName>
    <definedName name="OSRRefD22_13x_0" localSheetId="57">'315'!$D$89:$D$91</definedName>
    <definedName name="OSRRefD22_13x_0" localSheetId="66">'325'!$D$73:$D$78</definedName>
    <definedName name="OSRRefD22_13x_0" localSheetId="58">'326'!$D$74:$D$75</definedName>
    <definedName name="OSRRefD22_13x_0" localSheetId="56">'331'!$D$89</definedName>
    <definedName name="OSRRefD22_13x_0" localSheetId="54">'333'!$D$92</definedName>
    <definedName name="OSRRefD22_13x_0" localSheetId="71">'405'!$D$83</definedName>
    <definedName name="OSRRefD22_13x_0" localSheetId="73">'411'!$D$70</definedName>
    <definedName name="OSRRefD22_13x_0" localSheetId="77">'415'!$D$76</definedName>
    <definedName name="OSRRefD22_13x_0" localSheetId="78">'418'!$D$81</definedName>
    <definedName name="OSRRefD22_13x_0" localSheetId="84">'433'!$D$76:$D$83</definedName>
    <definedName name="OSRRefD22_13x_0" localSheetId="86">'444'!$D$75</definedName>
    <definedName name="OSRRefD22_13x_0" localSheetId="87">'450'!$D$76:$D$82</definedName>
    <definedName name="OSRRefD22_13x_0" localSheetId="70">'491'!$D$77</definedName>
    <definedName name="OSRRefD22_13x_0" localSheetId="82">'492'!$D$75:$D$78</definedName>
    <definedName name="OSRRefD22_13x_0" localSheetId="89">'501'!$D$70</definedName>
    <definedName name="OSRRefD22_13x_0" localSheetId="39">'Div 2'!$D$69:$D$72</definedName>
    <definedName name="OSRRefD22_13x_0" localSheetId="47">'Div 3'!$D$108</definedName>
    <definedName name="OSRRefD22_13x_0" localSheetId="68">'Div 4'!$D$77</definedName>
    <definedName name="OSRRefD22_13x_0" localSheetId="88">'Div 5'!$D$70</definedName>
    <definedName name="OSRRefD22_13x_0" localSheetId="2">Summary!$D$117</definedName>
    <definedName name="OSRRefD22_14x_0" localSheetId="41">'201'!$D$69</definedName>
    <definedName name="OSRRefD22_14x_0" localSheetId="43">'203'!$D$73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3">'310'!$D$81:$D$86</definedName>
    <definedName name="OSRRefD22_14x_0" localSheetId="69">'310 &amp; 491'!$D$81:$D$85</definedName>
    <definedName name="OSRRefD22_14x_0" localSheetId="57">'315'!$D$93:$D$94</definedName>
    <definedName name="OSRRefD22_14x_0" localSheetId="66">'325'!$D$80:$D$81</definedName>
    <definedName name="OSRRefD22_14x_0" localSheetId="58">'326'!$D$77:$D$79</definedName>
    <definedName name="OSRRefD22_14x_0" localSheetId="56">'331'!$D$91:$D$92</definedName>
    <definedName name="OSRRefD22_14x_0" localSheetId="54">'333'!$D$94:$D$95</definedName>
    <definedName name="OSRRefD22_14x_0" localSheetId="71">'405'!$D$85</definedName>
    <definedName name="OSRRefD22_14x_0" localSheetId="73">'411'!$D$72:$D$73</definedName>
    <definedName name="OSRRefD22_14x_0" localSheetId="77">'415'!$D$78:$D$85</definedName>
    <definedName name="OSRRefD22_14x_0" localSheetId="78">'418'!$D$83</definedName>
    <definedName name="OSRRefD22_14x_0" localSheetId="84">'433'!$D$85</definedName>
    <definedName name="OSRRefD22_14x_0" localSheetId="86">'444'!$D$77:$D$85</definedName>
    <definedName name="OSRRefD22_14x_0" localSheetId="87">'450'!$D$84</definedName>
    <definedName name="OSRRefD22_14x_0" localSheetId="70">'491'!$D$79:$D$83</definedName>
    <definedName name="OSRRefD22_14x_0" localSheetId="82">'492'!$D$80</definedName>
    <definedName name="OSRRefD22_14x_0" localSheetId="39">'Div 2'!$D$74:$D$75</definedName>
    <definedName name="OSRRefD22_14x_0" localSheetId="47">'Div 3'!$D$110</definedName>
    <definedName name="OSRRefD22_14x_0" localSheetId="68">'Div 4'!$D$79:$D$82</definedName>
    <definedName name="OSRRefD22_14x_0" localSheetId="2">Summary!$D$119</definedName>
    <definedName name="OSRRefD22_15x_0" localSheetId="41">'201'!$D$71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3">'310'!$D$88:$D$89</definedName>
    <definedName name="OSRRefD22_15x_0" localSheetId="69">'310 &amp; 491'!$D$87</definedName>
    <definedName name="OSRRefD22_15x_0" localSheetId="57">'315'!$D$96:$D$99</definedName>
    <definedName name="OSRRefD22_15x_0" localSheetId="66">'325'!$D$83</definedName>
    <definedName name="OSRRefD22_15x_0" localSheetId="58">'326'!$D$81</definedName>
    <definedName name="OSRRefD22_15x_0" localSheetId="56">'331'!$D$94:$D$96</definedName>
    <definedName name="OSRRefD22_15x_0" localSheetId="54">'333'!$D$97:$D$99</definedName>
    <definedName name="OSRRefD22_15x_0" localSheetId="71">'405'!$D$87</definedName>
    <definedName name="OSRRefD22_15x_0" localSheetId="73">'411'!$D$75</definedName>
    <definedName name="OSRRefD22_15x_0" localSheetId="77">'415'!$D$87:$D$88</definedName>
    <definedName name="OSRRefD22_15x_0" localSheetId="78">'418'!$D$85</definedName>
    <definedName name="OSRRefD22_15x_0" localSheetId="84">'433'!$D$87</definedName>
    <definedName name="OSRRefD22_15x_0" localSheetId="86">'444'!$D$87</definedName>
    <definedName name="OSRRefD22_15x_0" localSheetId="87">'450'!$D$86</definedName>
    <definedName name="OSRRefD22_15x_0" localSheetId="70">'491'!$D$85</definedName>
    <definedName name="OSRRefD22_15x_0" localSheetId="82">'492'!$D$82:$D$90</definedName>
    <definedName name="OSRRefD22_15x_0" localSheetId="39">'Div 2'!$D$77:$D$78</definedName>
    <definedName name="OSRRefD22_15x_0" localSheetId="47">'Div 3'!$D$112</definedName>
    <definedName name="OSRRefD22_15x_0" localSheetId="68">'Div 4'!$D$84</definedName>
    <definedName name="OSRRefD22_15x_0" localSheetId="2">Summary!$D$121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3">'310'!$D$91</definedName>
    <definedName name="OSRRefD22_16x_0" localSheetId="69">'310 &amp; 491'!$D$89:$D$98</definedName>
    <definedName name="OSRRefD22_16x_0" localSheetId="57">'315'!$D$101</definedName>
    <definedName name="OSRRefD22_16x_0" localSheetId="66">'325'!$D$85</definedName>
    <definedName name="OSRRefD22_16x_0" localSheetId="58">'326'!$D$83:$D$84</definedName>
    <definedName name="OSRRefD22_16x_0" localSheetId="56">'331'!$D$98:$D$99</definedName>
    <definedName name="OSRRefD22_16x_0" localSheetId="54">'333'!$D$101:$D$103</definedName>
    <definedName name="OSRRefD22_16x_0" localSheetId="71">'405'!$D$89</definedName>
    <definedName name="OSRRefD22_16x_0" localSheetId="77">'415'!$D$90</definedName>
    <definedName name="OSRRefD22_16x_0" localSheetId="86">'444'!$D$89</definedName>
    <definedName name="OSRRefD22_16x_0" localSheetId="87">'450'!$D$88</definedName>
    <definedName name="OSRRefD22_16x_0" localSheetId="70">'491'!$D$87:$D$96</definedName>
    <definedName name="OSRRefD22_16x_0" localSheetId="82">'492'!$D$92:$D$93</definedName>
    <definedName name="OSRRefD22_16x_0" localSheetId="39">'Div 2'!$D$80:$D$85</definedName>
    <definedName name="OSRRefD22_16x_0" localSheetId="47">'Div 3'!$D$114</definedName>
    <definedName name="OSRRefD22_16x_0" localSheetId="68">'Div 4'!$D$86:$D$90</definedName>
    <definedName name="OSRRefD22_16x_0" localSheetId="2">Summary!$D$123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63">'310'!$D$93</definedName>
    <definedName name="OSRRefD22_17x_0" localSheetId="69">'310 &amp; 491'!$D$100:$D$101</definedName>
    <definedName name="OSRRefD22_17x_0" localSheetId="57">'315'!$D$103</definedName>
    <definedName name="OSRRefD22_17x_0" localSheetId="58">'326'!$D$86</definedName>
    <definedName name="OSRRefD22_17x_0" localSheetId="56">'331'!$D$101:$D$102</definedName>
    <definedName name="OSRRefD22_17x_0" localSheetId="54">'333'!$D$105:$D$106</definedName>
    <definedName name="OSRRefD22_17x_0" localSheetId="77">'415'!$D$92</definedName>
    <definedName name="OSRRefD22_17x_0" localSheetId="70">'491'!$D$98:$D$99</definedName>
    <definedName name="OSRRefD22_17x_0" localSheetId="82">'492'!$D$95</definedName>
    <definedName name="OSRRefD22_17x_0" localSheetId="39">'Div 2'!$D$87:$D$88</definedName>
    <definedName name="OSRRefD22_17x_0" localSheetId="47">'Div 3'!$D$116:$D$119</definedName>
    <definedName name="OSRRefD22_17x_0" localSheetId="68">'Div 4'!$D$92:$D$93</definedName>
    <definedName name="OSRRefD22_17x_0" localSheetId="2">Summary!$D$125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69">'310 &amp; 491'!$D$103</definedName>
    <definedName name="OSRRefD22_18x_0" localSheetId="57">'315'!$D$105</definedName>
    <definedName name="OSRRefD22_18x_0" localSheetId="56">'331'!$D$104:$D$108</definedName>
    <definedName name="OSRRefD22_18x_0" localSheetId="54">'333'!$D$108:$D$113</definedName>
    <definedName name="OSRRefD22_18x_0" localSheetId="70">'491'!$D$101</definedName>
    <definedName name="OSRRefD22_18x_0" localSheetId="82">'492'!$D$97:$D$98</definedName>
    <definedName name="OSRRefD22_18x_0" localSheetId="39">'Div 2'!$D$90</definedName>
    <definedName name="OSRRefD22_18x_0" localSheetId="47">'Div 3'!$D$121:$D$124</definedName>
    <definedName name="OSRRefD22_18x_0" localSheetId="68">'Div 4'!$D$95:$D$104</definedName>
    <definedName name="OSRRefD22_18x_0" localSheetId="2">Summary!$D$127:$D$130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69">'310 &amp; 491'!$D$105:$D$106</definedName>
    <definedName name="OSRRefD22_19x_0" localSheetId="56">'331'!$D$110</definedName>
    <definedName name="OSRRefD22_19x_0" localSheetId="54">'333'!$D$115</definedName>
    <definedName name="OSRRefD22_19x_0" localSheetId="70">'491'!$D$103:$D$104</definedName>
    <definedName name="OSRRefD22_19x_0" localSheetId="39">'Div 2'!$D$92:$D$93</definedName>
    <definedName name="OSRRefD22_19x_0" localSheetId="47">'Div 3'!$D$126:$D$129</definedName>
    <definedName name="OSRRefD22_19x_0" localSheetId="68">'Div 4'!$D$106:$D$107</definedName>
    <definedName name="OSRRefD22_19x_0" localSheetId="2">Summary!$D$132:$D$135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5">'307'!$D$44:$D$53</definedName>
    <definedName name="OSRRefD22_1x_0" localSheetId="51">'308'!$D$46:$D$55</definedName>
    <definedName name="OSRRefD22_1x_0" localSheetId="64">'309'!$D$29:$D$30</definedName>
    <definedName name="OSRRefD22_1x_0" localSheetId="63">'310'!$D$40:$D$49</definedName>
    <definedName name="OSRRefD22_1x_0" localSheetId="69">'310 &amp; 491'!$D$40:$D$49</definedName>
    <definedName name="OSRRefD22_1x_0" localSheetId="52">'311'!$D$46:$D$55</definedName>
    <definedName name="OSRRefD22_1x_0" localSheetId="57">'315'!$D$54:$D$63</definedName>
    <definedName name="OSRRefD22_1x_0" localSheetId="60">'316'!$D$37:$D$46</definedName>
    <definedName name="OSRRefD22_1x_0" localSheetId="62">'317'!$D$46:$D$55</definedName>
    <definedName name="OSRRefD22_1x_0" localSheetId="65">'321'!$D$35:$D$44</definedName>
    <definedName name="OSRRefD22_1x_0" localSheetId="66">'325'!$D$35:$D$44</definedName>
    <definedName name="OSRRefD22_1x_0" localSheetId="58">'326'!$D$38:$D$47</definedName>
    <definedName name="OSRRefD22_1x_0" localSheetId="67">'327'!$D$28</definedName>
    <definedName name="OSRRefD22_1x_0" localSheetId="56">'331'!$D$54:$D$63</definedName>
    <definedName name="OSRRefD22_1x_0" localSheetId="59">'332'!$D$37:$D$46</definedName>
    <definedName name="OSRRefD22_1x_0" localSheetId="54">'333'!$D$56:$D$65</definedName>
    <definedName name="OSRRefD22_1x_0" localSheetId="71">'405'!$D$37:$D$46</definedName>
    <definedName name="OSRRefD22_1x_0" localSheetId="72">'406'!$D$22</definedName>
    <definedName name="OSRRefD22_1x_0" localSheetId="73">'411'!$D$30:$D$39</definedName>
    <definedName name="OSRRefD22_1x_0" localSheetId="74">'412'!$D$22</definedName>
    <definedName name="OSRRefD22_1x_0" localSheetId="75">'413'!$D$22</definedName>
    <definedName name="OSRRefD22_1x_0" localSheetId="76">'414'!$D$22</definedName>
    <definedName name="OSRRefD22_1x_0" localSheetId="77">'415'!$D$38:$D$47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'425'!$D$24</definedName>
    <definedName name="OSRRefD22_1x_0" localSheetId="83">'430'!$D$30:$D$39</definedName>
    <definedName name="OSRRefD22_1x_0" localSheetId="84">'433'!$D$38:$D$47</definedName>
    <definedName name="OSRRefD22_1x_0" localSheetId="85">'435'!$D$26</definedName>
    <definedName name="OSRRefD22_1x_0" localSheetId="86">'444'!$D$38:$D$47</definedName>
    <definedName name="OSRRefD22_1x_0" localSheetId="87">'450'!$D$38:$D$47</definedName>
    <definedName name="OSRRefD22_1x_0" localSheetId="70">'491'!$D$39:$D$48</definedName>
    <definedName name="OSRRefD22_1x_0" localSheetId="82">'492'!$D$40:$D$49</definedName>
    <definedName name="OSRRefD22_1x_0" localSheetId="89">'501'!$D$32:$D$41</definedName>
    <definedName name="OSRRefD22_1x_0" localSheetId="39">'Div 2'!$D$32:$D$41</definedName>
    <definedName name="OSRRefD22_1x_0" localSheetId="47">'Div 3'!$D$71:$D$80</definedName>
    <definedName name="OSRRefD22_1x_0" localSheetId="68">'Div 4'!$D$42:$D$51</definedName>
    <definedName name="OSRRefD22_1x_0" localSheetId="88">'Div 5'!$D$32:$D$41</definedName>
    <definedName name="OSRRefD22_1x_0" localSheetId="61">'Div 6'!$D$46:$D$55</definedName>
    <definedName name="OSRRefD22_1x_0" localSheetId="2">Summary!$D$79:$D$88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69">'310 &amp; 491'!$D$108</definedName>
    <definedName name="OSRRefD22_20x_0" localSheetId="56">'331'!$D$112</definedName>
    <definedName name="OSRRefD22_20x_0" localSheetId="54">'333'!$D$117</definedName>
    <definedName name="OSRRefD22_20x_0" localSheetId="70">'491'!$D$106</definedName>
    <definedName name="OSRRefD22_20x_0" localSheetId="47">'Div 3'!$D$131:$D$132</definedName>
    <definedName name="OSRRefD22_20x_0" localSheetId="68">'Div 4'!$D$109</definedName>
    <definedName name="OSRRefD22_20x_0" localSheetId="2">Summary!$D$137:$D$141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'301'!$D$92:$D$93</definedName>
    <definedName name="OSRRefD22_21x_0" localSheetId="56">'331'!$D$114:$D$115</definedName>
    <definedName name="OSRRefD22_21x_0" localSheetId="54">'333'!$D$119:$D$120</definedName>
    <definedName name="OSRRefD22_21x_0" localSheetId="47">'Div 3'!$D$134:$D$140</definedName>
    <definedName name="OSRRefD22_21x_0" localSheetId="68">'Div 4'!$D$111:$D$112</definedName>
    <definedName name="OSRRefD22_21x_0" localSheetId="2">Summary!$D$143:$D$144</definedName>
    <definedName name="OSRRefD22_22x_0" localSheetId="48">'300'!$D$136</definedName>
    <definedName name="OSRRefD22_22x_0" localSheetId="49">'300 &amp; 317'!$D$142</definedName>
    <definedName name="OSRRefD22_22x_0" localSheetId="50">'301'!$D$95</definedName>
    <definedName name="OSRRefD22_22x_0" localSheetId="56">'331'!$D$117</definedName>
    <definedName name="OSRRefD22_22x_0" localSheetId="54">'333'!$D$122</definedName>
    <definedName name="OSRRefD22_22x_0" localSheetId="47">'Div 3'!$D$142:$D$143</definedName>
    <definedName name="OSRRefD22_22x_0" localSheetId="68">'Div 4'!$D$114</definedName>
    <definedName name="OSRRefD22_22x_0" localSheetId="2">Summary!$D$146:$D$155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3'!$D$145</definedName>
    <definedName name="OSRRefD22_23x_0" localSheetId="2">Summary!$D$157:$D$158</definedName>
    <definedName name="OSRRefD22_24x_0" localSheetId="48">'300'!$D$142</definedName>
    <definedName name="OSRRefD22_24x_0" localSheetId="49">'300 &amp; 317'!$D$148</definedName>
    <definedName name="OSRRefD22_24x_0" localSheetId="47">'Div 3'!$D$147:$D$149</definedName>
    <definedName name="OSRRefD22_24x_0" localSheetId="2">Summary!$D$160</definedName>
    <definedName name="OSRRefD22_25x_0" localSheetId="47">'Div 3'!$D$151</definedName>
    <definedName name="OSRRefD22_25x_0" localSheetId="2">Summary!$D$162:$D$164</definedName>
    <definedName name="OSRRefD22_26x_0" localSheetId="2">Summary!$D$166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5">'307'!$D$55</definedName>
    <definedName name="OSRRefD22_2x_0" localSheetId="51">'308'!$D$57</definedName>
    <definedName name="OSRRefD22_2x_0" localSheetId="64">'309'!$D$32</definedName>
    <definedName name="OSRRefD22_2x_0" localSheetId="63">'310'!$D$51</definedName>
    <definedName name="OSRRefD22_2x_0" localSheetId="69">'310 &amp; 491'!$D$51</definedName>
    <definedName name="OSRRefD22_2x_0" localSheetId="52">'311'!$D$57</definedName>
    <definedName name="OSRRefD22_2x_0" localSheetId="57">'315'!$D$65</definedName>
    <definedName name="OSRRefD22_2x_0" localSheetId="60">'316'!$D$48</definedName>
    <definedName name="OSRRefD22_2x_0" localSheetId="62">'317'!$D$57</definedName>
    <definedName name="OSRRefD22_2x_0" localSheetId="65">'321'!$D$46</definedName>
    <definedName name="OSRRefD22_2x_0" localSheetId="66">'325'!$D$46</definedName>
    <definedName name="OSRRefD22_2x_0" localSheetId="58">'326'!$D$49</definedName>
    <definedName name="OSRRefD22_2x_0" localSheetId="56">'331'!$D$65</definedName>
    <definedName name="OSRRefD22_2x_0" localSheetId="59">'332'!$D$48</definedName>
    <definedName name="OSRRefD22_2x_0" localSheetId="54">'333'!$D$67</definedName>
    <definedName name="OSRRefD22_2x_0" localSheetId="71">'405'!$D$48</definedName>
    <definedName name="OSRRefD22_2x_0" localSheetId="73">'411'!$D$41</definedName>
    <definedName name="OSRRefD22_2x_0" localSheetId="74">'412'!$D$24</definedName>
    <definedName name="OSRRefD22_2x_0" localSheetId="75">'413'!$D$24</definedName>
    <definedName name="OSRRefD22_2x_0" localSheetId="76">'414'!$D$24</definedName>
    <definedName name="OSRRefD22_2x_0" localSheetId="77">'415'!$D$49</definedName>
    <definedName name="OSRRefD22_2x_0" localSheetId="78">'418'!$D$45</definedName>
    <definedName name="OSRRefD22_2x_0" localSheetId="79">'423'!$D$40</definedName>
    <definedName name="OSRRefD22_2x_0" localSheetId="80">'424'!$D$24</definedName>
    <definedName name="OSRRefD22_2x_0" localSheetId="81">'425'!$D$26</definedName>
    <definedName name="OSRRefD22_2x_0" localSheetId="83">'430'!$D$41</definedName>
    <definedName name="OSRRefD22_2x_0" localSheetId="84">'433'!$D$49</definedName>
    <definedName name="OSRRefD22_2x_0" localSheetId="85">'435'!$D$28</definedName>
    <definedName name="OSRRefD22_2x_0" localSheetId="86">'444'!$D$49</definedName>
    <definedName name="OSRRefD22_2x_0" localSheetId="87">'450'!$D$49</definedName>
    <definedName name="OSRRefD22_2x_0" localSheetId="70">'491'!$D$50</definedName>
    <definedName name="OSRRefD22_2x_0" localSheetId="82">'492'!$D$51</definedName>
    <definedName name="OSRRefD22_2x_0" localSheetId="89">'501'!$D$43</definedName>
    <definedName name="OSRRefD22_2x_0" localSheetId="39">'Div 2'!$D$43</definedName>
    <definedName name="OSRRefD22_2x_0" localSheetId="47">'Div 3'!$D$82</definedName>
    <definedName name="OSRRefD22_2x_0" localSheetId="68">'Div 4'!$D$53</definedName>
    <definedName name="OSRRefD22_2x_0" localSheetId="88">'Div 5'!$D$43</definedName>
    <definedName name="OSRRefD22_2x_0" localSheetId="61">'Div 6'!$D$57</definedName>
    <definedName name="OSRRefD22_2x_0" localSheetId="2">Summary!$D$90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5">'307'!$D$57</definedName>
    <definedName name="OSRRefD22_3x_0" localSheetId="51">'308'!$D$59</definedName>
    <definedName name="OSRRefD22_3x_0" localSheetId="64">'309'!$D$34</definedName>
    <definedName name="OSRRefD22_3x_0" localSheetId="63">'310'!$D$53</definedName>
    <definedName name="OSRRefD22_3x_0" localSheetId="69">'310 &amp; 491'!$D$53</definedName>
    <definedName name="OSRRefD22_3x_0" localSheetId="52">'311'!$D$59</definedName>
    <definedName name="OSRRefD22_3x_0" localSheetId="57">'315'!$D$67</definedName>
    <definedName name="OSRRefD22_3x_0" localSheetId="60">'316'!$D$50</definedName>
    <definedName name="OSRRefD22_3x_0" localSheetId="62">'317'!$D$59</definedName>
    <definedName name="OSRRefD22_3x_0" localSheetId="65">'321'!$D$48</definedName>
    <definedName name="OSRRefD22_3x_0" localSheetId="66">'325'!$D$48</definedName>
    <definedName name="OSRRefD22_3x_0" localSheetId="58">'326'!$D$51</definedName>
    <definedName name="OSRRefD22_3x_0" localSheetId="56">'331'!$D$67</definedName>
    <definedName name="OSRRefD22_3x_0" localSheetId="59">'332'!$D$50</definedName>
    <definedName name="OSRRefD22_3x_0" localSheetId="54">'333'!$D$69</definedName>
    <definedName name="OSRRefD22_3x_0" localSheetId="71">'405'!$D$50</definedName>
    <definedName name="OSRRefD22_3x_0" localSheetId="73">'411'!$D$43:$D$44</definedName>
    <definedName name="OSRRefD22_3x_0" localSheetId="74">'412'!$D$26</definedName>
    <definedName name="OSRRefD22_3x_0" localSheetId="77">'415'!$D$51</definedName>
    <definedName name="OSRRefD22_3x_0" localSheetId="78">'418'!$D$47</definedName>
    <definedName name="OSRRefD22_3x_0" localSheetId="79">'423'!$D$42</definedName>
    <definedName name="OSRRefD22_3x_0" localSheetId="81">'425'!$D$28</definedName>
    <definedName name="OSRRefD22_3x_0" localSheetId="83">'430'!$D$43</definedName>
    <definedName name="OSRRefD22_3x_0" localSheetId="84">'433'!$D$51</definedName>
    <definedName name="OSRRefD22_3x_0" localSheetId="85">'435'!$D$30</definedName>
    <definedName name="OSRRefD22_3x_0" localSheetId="86">'444'!$D$51</definedName>
    <definedName name="OSRRefD22_3x_0" localSheetId="87">'450'!$D$51</definedName>
    <definedName name="OSRRefD22_3x_0" localSheetId="70">'491'!$D$52</definedName>
    <definedName name="OSRRefD22_3x_0" localSheetId="82">'492'!$D$53</definedName>
    <definedName name="OSRRefD22_3x_0" localSheetId="89">'501'!$D$45</definedName>
    <definedName name="OSRRefD22_3x_0" localSheetId="39">'Div 2'!$D$45</definedName>
    <definedName name="OSRRefD22_3x_0" localSheetId="47">'Div 3'!$D$84</definedName>
    <definedName name="OSRRefD22_3x_0" localSheetId="68">'Div 4'!$D$55</definedName>
    <definedName name="OSRRefD22_3x_0" localSheetId="88">'Div 5'!$D$45</definedName>
    <definedName name="OSRRefD22_3x_0" localSheetId="61">'Div 6'!$D$59</definedName>
    <definedName name="OSRRefD22_3x_0" localSheetId="2">Summary!$D$92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'205'!$D$45:$D$47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5">'307'!$D$59</definedName>
    <definedName name="OSRRefD22_4x_0" localSheetId="51">'308'!$D$61</definedName>
    <definedName name="OSRRefD22_4x_0" localSheetId="64">'309'!$D$36</definedName>
    <definedName name="OSRRefD22_4x_0" localSheetId="63">'310'!$D$55</definedName>
    <definedName name="OSRRefD22_4x_0" localSheetId="69">'310 &amp; 491'!$D$55</definedName>
    <definedName name="OSRRefD22_4x_0" localSheetId="52">'311'!$D$61</definedName>
    <definedName name="OSRRefD22_4x_0" localSheetId="57">'315'!$D$69</definedName>
    <definedName name="OSRRefD22_4x_0" localSheetId="60">'316'!$D$52</definedName>
    <definedName name="OSRRefD22_4x_0" localSheetId="62">'317'!$D$61</definedName>
    <definedName name="OSRRefD22_4x_0" localSheetId="65">'321'!$D$50</definedName>
    <definedName name="OSRRefD22_4x_0" localSheetId="66">'325'!$D$50</definedName>
    <definedName name="OSRRefD22_4x_0" localSheetId="58">'326'!$D$53</definedName>
    <definedName name="OSRRefD22_4x_0" localSheetId="56">'331'!$D$69</definedName>
    <definedName name="OSRRefD22_4x_0" localSheetId="59">'332'!$D$52</definedName>
    <definedName name="OSRRefD22_4x_0" localSheetId="54">'333'!$D$71</definedName>
    <definedName name="OSRRefD22_4x_0" localSheetId="71">'405'!$D$52</definedName>
    <definedName name="OSRRefD22_4x_0" localSheetId="73">'411'!$D$46</definedName>
    <definedName name="OSRRefD22_4x_0" localSheetId="74">'412'!$D$28</definedName>
    <definedName name="OSRRefD22_4x_0" localSheetId="77">'415'!$D$53</definedName>
    <definedName name="OSRRefD22_4x_0" localSheetId="78">'418'!$D$49:$D$50</definedName>
    <definedName name="OSRRefD22_4x_0" localSheetId="79">'423'!$D$44</definedName>
    <definedName name="OSRRefD22_4x_0" localSheetId="81">'425'!$D$30</definedName>
    <definedName name="OSRRefD22_4x_0" localSheetId="83">'430'!$D$45</definedName>
    <definedName name="OSRRefD22_4x_0" localSheetId="84">'433'!$D$53</definedName>
    <definedName name="OSRRefD22_4x_0" localSheetId="85">'435'!$D$32</definedName>
    <definedName name="OSRRefD22_4x_0" localSheetId="86">'444'!$D$53</definedName>
    <definedName name="OSRRefD22_4x_0" localSheetId="87">'450'!$D$53</definedName>
    <definedName name="OSRRefD22_4x_0" localSheetId="70">'491'!$D$54</definedName>
    <definedName name="OSRRefD22_4x_0" localSheetId="82">'492'!$D$55</definedName>
    <definedName name="OSRRefD22_4x_0" localSheetId="89">'501'!$D$47</definedName>
    <definedName name="OSRRefD22_4x_0" localSheetId="39">'Div 2'!$D$47</definedName>
    <definedName name="OSRRefD22_4x_0" localSheetId="47">'Div 3'!$D$86</definedName>
    <definedName name="OSRRefD22_4x_0" localSheetId="68">'Div 4'!$D$57</definedName>
    <definedName name="OSRRefD22_4x_0" localSheetId="88">'Div 5'!$D$47</definedName>
    <definedName name="OSRRefD22_4x_0" localSheetId="61">'Div 6'!$D$61</definedName>
    <definedName name="OSRRefD22_4x_0" localSheetId="2">Summary!$D$94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'205'!$D$49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5">'307'!$D$61:$D$62</definedName>
    <definedName name="OSRRefD22_5x_0" localSheetId="51">'308'!$D$63</definedName>
    <definedName name="OSRRefD22_5x_0" localSheetId="64">'309'!$D$38</definedName>
    <definedName name="OSRRefD22_5x_0" localSheetId="63">'310'!$D$57:$D$58</definedName>
    <definedName name="OSRRefD22_5x_0" localSheetId="69">'310 &amp; 491'!$D$57:$D$58</definedName>
    <definedName name="OSRRefD22_5x_0" localSheetId="52">'311'!$D$63</definedName>
    <definedName name="OSRRefD22_5x_0" localSheetId="57">'315'!$D$71</definedName>
    <definedName name="OSRRefD22_5x_0" localSheetId="60">'316'!$D$54:$D$55</definedName>
    <definedName name="OSRRefD22_5x_0" localSheetId="62">'317'!$D$63</definedName>
    <definedName name="OSRRefD22_5x_0" localSheetId="65">'321'!$D$52</definedName>
    <definedName name="OSRRefD22_5x_0" localSheetId="66">'325'!$D$52:$D$53</definedName>
    <definedName name="OSRRefD22_5x_0" localSheetId="58">'326'!$D$55</definedName>
    <definedName name="OSRRefD22_5x_0" localSheetId="56">'331'!$D$71</definedName>
    <definedName name="OSRRefD22_5x_0" localSheetId="59">'332'!$D$54:$D$55</definedName>
    <definedName name="OSRRefD22_5x_0" localSheetId="54">'333'!$D$73:$D$74</definedName>
    <definedName name="OSRRefD22_5x_0" localSheetId="71">'405'!$D$54:$D$55</definedName>
    <definedName name="OSRRefD22_5x_0" localSheetId="73">'411'!$D$48</definedName>
    <definedName name="OSRRefD22_5x_0" localSheetId="77">'415'!$D$55:$D$56</definedName>
    <definedName name="OSRRefD22_5x_0" localSheetId="78">'418'!$D$52</definedName>
    <definedName name="OSRRefD22_5x_0" localSheetId="79">'423'!$D$46</definedName>
    <definedName name="OSRRefD22_5x_0" localSheetId="81">'425'!$D$32</definedName>
    <definedName name="OSRRefD22_5x_0" localSheetId="83">'430'!$D$47:$D$48</definedName>
    <definedName name="OSRRefD22_5x_0" localSheetId="84">'433'!$D$55</definedName>
    <definedName name="OSRRefD22_5x_0" localSheetId="86">'444'!$D$55</definedName>
    <definedName name="OSRRefD22_5x_0" localSheetId="87">'450'!$D$55</definedName>
    <definedName name="OSRRefD22_5x_0" localSheetId="70">'491'!$D$56:$D$57</definedName>
    <definedName name="OSRRefD22_5x_0" localSheetId="82">'492'!$D$57</definedName>
    <definedName name="OSRRefD22_5x_0" localSheetId="89">'501'!$D$49:$D$50</definedName>
    <definedName name="OSRRefD22_5x_0" localSheetId="39">'Div 2'!$D$49:$D$50</definedName>
    <definedName name="OSRRefD22_5x_0" localSheetId="47">'Div 3'!$D$88:$D$89</definedName>
    <definedName name="OSRRefD22_5x_0" localSheetId="68">'Div 4'!$D$59:$D$60</definedName>
    <definedName name="OSRRefD22_5x_0" localSheetId="88">'Div 5'!$D$49:$D$50</definedName>
    <definedName name="OSRRefD22_5x_0" localSheetId="61">'Div 6'!$D$63</definedName>
    <definedName name="OSRRefD22_5x_0" localSheetId="2">Summary!$D$96:$D$97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'204'!$D$53:$D$54</definedName>
    <definedName name="OSRRefD22_6x_0" localSheetId="45">'205'!$D$51:$D$53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5">'307'!$D$64</definedName>
    <definedName name="OSRRefD22_6x_0" localSheetId="51">'308'!$D$65:$D$66</definedName>
    <definedName name="OSRRefD22_6x_0" localSheetId="64">'309'!$D$40</definedName>
    <definedName name="OSRRefD22_6x_0" localSheetId="63">'310'!$D$60</definedName>
    <definedName name="OSRRefD22_6x_0" localSheetId="69">'310 &amp; 491'!$D$60</definedName>
    <definedName name="OSRRefD22_6x_0" localSheetId="52">'311'!$D$65:$D$66</definedName>
    <definedName name="OSRRefD22_6x_0" localSheetId="57">'315'!$D$73</definedName>
    <definedName name="OSRRefD22_6x_0" localSheetId="60">'316'!$D$57</definedName>
    <definedName name="OSRRefD22_6x_0" localSheetId="62">'317'!$D$65</definedName>
    <definedName name="OSRRefD22_6x_0" localSheetId="65">'321'!$D$54</definedName>
    <definedName name="OSRRefD22_6x_0" localSheetId="66">'325'!$D$55</definedName>
    <definedName name="OSRRefD22_6x_0" localSheetId="58">'326'!$D$57:$D$58</definedName>
    <definedName name="OSRRefD22_6x_0" localSheetId="56">'331'!$D$73</definedName>
    <definedName name="OSRRefD22_6x_0" localSheetId="59">'332'!$D$57</definedName>
    <definedName name="OSRRefD22_6x_0" localSheetId="54">'333'!$D$76</definedName>
    <definedName name="OSRRefD22_6x_0" localSheetId="71">'405'!$D$57</definedName>
    <definedName name="OSRRefD22_6x_0" localSheetId="73">'411'!$D$50</definedName>
    <definedName name="OSRRefD22_6x_0" localSheetId="77">'415'!$D$58</definedName>
    <definedName name="OSRRefD22_6x_0" localSheetId="78">'418'!$D$54</definedName>
    <definedName name="OSRRefD22_6x_0" localSheetId="83">'430'!$D$50:$D$51</definedName>
    <definedName name="OSRRefD22_6x_0" localSheetId="84">'433'!$D$57</definedName>
    <definedName name="OSRRefD22_6x_0" localSheetId="86">'444'!$D$57</definedName>
    <definedName name="OSRRefD22_6x_0" localSheetId="87">'450'!$D$57</definedName>
    <definedName name="OSRRefD22_6x_0" localSheetId="70">'491'!$D$59</definedName>
    <definedName name="OSRRefD22_6x_0" localSheetId="82">'492'!$D$59</definedName>
    <definedName name="OSRRefD22_6x_0" localSheetId="89">'501'!$D$52</definedName>
    <definedName name="OSRRefD22_6x_0" localSheetId="39">'Div 2'!$D$52</definedName>
    <definedName name="OSRRefD22_6x_0" localSheetId="47">'Div 3'!$D$91:$D$92</definedName>
    <definedName name="OSRRefD22_6x_0" localSheetId="68">'Div 4'!$D$62</definedName>
    <definedName name="OSRRefD22_6x_0" localSheetId="88">'Div 5'!$D$52</definedName>
    <definedName name="OSRRefD22_6x_0" localSheetId="61">'Div 6'!$D$65</definedName>
    <definedName name="OSRRefD22_6x_0" localSheetId="2">Summary!$D$99:$D$100</definedName>
    <definedName name="OSRRefD22_7x_0" localSheetId="41">'201'!$D$51</definedName>
    <definedName name="OSRRefD22_7x_0" localSheetId="42">'202'!$D$51:$D$53</definedName>
    <definedName name="OSRRefD22_7x_0" localSheetId="43">'203'!$D$52</definedName>
    <definedName name="OSRRefD22_7x_0" localSheetId="44">'204'!$D$56</definedName>
    <definedName name="OSRRefD22_7x_0" localSheetId="45">'205'!$D$55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5">'307'!$D$66</definedName>
    <definedName name="OSRRefD22_7x_0" localSheetId="51">'308'!$D$68</definedName>
    <definedName name="OSRRefD22_7x_0" localSheetId="64">'309'!$D$42</definedName>
    <definedName name="OSRRefD22_7x_0" localSheetId="63">'310'!$D$62</definedName>
    <definedName name="OSRRefD22_7x_0" localSheetId="69">'310 &amp; 491'!$D$62</definedName>
    <definedName name="OSRRefD22_7x_0" localSheetId="52">'311'!$D$68</definedName>
    <definedName name="OSRRefD22_7x_0" localSheetId="57">'315'!$D$75</definedName>
    <definedName name="OSRRefD22_7x_0" localSheetId="60">'316'!$D$59:$D$61</definedName>
    <definedName name="OSRRefD22_7x_0" localSheetId="62">'317'!$D$67</definedName>
    <definedName name="OSRRefD22_7x_0" localSheetId="65">'321'!$D$56:$D$57</definedName>
    <definedName name="OSRRefD22_7x_0" localSheetId="66">'325'!$D$57</definedName>
    <definedName name="OSRRefD22_7x_0" localSheetId="58">'326'!$D$60</definedName>
    <definedName name="OSRRefD22_7x_0" localSheetId="56">'331'!$D$75</definedName>
    <definedName name="OSRRefD22_7x_0" localSheetId="59">'332'!$D$59:$D$61</definedName>
    <definedName name="OSRRefD22_7x_0" localSheetId="54">'333'!$D$78</definedName>
    <definedName name="OSRRefD22_7x_0" localSheetId="71">'405'!$D$59</definedName>
    <definedName name="OSRRefD22_7x_0" localSheetId="73">'411'!$D$52</definedName>
    <definedName name="OSRRefD22_7x_0" localSheetId="77">'415'!$D$60</definedName>
    <definedName name="OSRRefD22_7x_0" localSheetId="78">'418'!$D$56:$D$57</definedName>
    <definedName name="OSRRefD22_7x_0" localSheetId="83">'430'!$D$53</definedName>
    <definedName name="OSRRefD22_7x_0" localSheetId="84">'433'!$D$59</definedName>
    <definedName name="OSRRefD22_7x_0" localSheetId="86">'444'!$D$59</definedName>
    <definedName name="OSRRefD22_7x_0" localSheetId="87">'450'!$D$59</definedName>
    <definedName name="OSRRefD22_7x_0" localSheetId="70">'491'!$D$61</definedName>
    <definedName name="OSRRefD22_7x_0" localSheetId="82">'492'!$D$61</definedName>
    <definedName name="OSRRefD22_7x_0" localSheetId="89">'501'!$D$54</definedName>
    <definedName name="OSRRefD22_7x_0" localSheetId="39">'Div 2'!$D$54</definedName>
    <definedName name="OSRRefD22_7x_0" localSheetId="47">'Div 3'!$D$94</definedName>
    <definedName name="OSRRefD22_7x_0" localSheetId="68">'Div 4'!$D$64</definedName>
    <definedName name="OSRRefD22_7x_0" localSheetId="88">'Div 5'!$D$54</definedName>
    <definedName name="OSRRefD22_7x_0" localSheetId="61">'Div 6'!$D$67</definedName>
    <definedName name="OSRRefD22_7x_0" localSheetId="2">Summary!$D$102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4">'204'!$D$58:$D$59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5">'307'!$D$68</definedName>
    <definedName name="OSRRefD22_8x_0" localSheetId="51">'308'!$D$70</definedName>
    <definedName name="OSRRefD22_8x_0" localSheetId="64">'309'!$D$44:$D$45</definedName>
    <definedName name="OSRRefD22_8x_0" localSheetId="63">'310'!$D$64</definedName>
    <definedName name="OSRRefD22_8x_0" localSheetId="69">'310 &amp; 491'!$D$64:$D$65</definedName>
    <definedName name="OSRRefD22_8x_0" localSheetId="52">'311'!$D$70</definedName>
    <definedName name="OSRRefD22_8x_0" localSheetId="57">'315'!$D$77:$D$78</definedName>
    <definedName name="OSRRefD22_8x_0" localSheetId="60">'316'!$D$63</definedName>
    <definedName name="OSRRefD22_8x_0" localSheetId="62">'317'!$D$69</definedName>
    <definedName name="OSRRefD22_8x_0" localSheetId="65">'321'!$D$59:$D$60</definedName>
    <definedName name="OSRRefD22_8x_0" localSheetId="66">'325'!$D$59</definedName>
    <definedName name="OSRRefD22_8x_0" localSheetId="58">'326'!$D$62</definedName>
    <definedName name="OSRRefD22_8x_0" localSheetId="56">'331'!$D$77:$D$78</definedName>
    <definedName name="OSRRefD22_8x_0" localSheetId="59">'332'!$D$63</definedName>
    <definedName name="OSRRefD22_8x_0" localSheetId="54">'333'!$D$80:$D$81</definedName>
    <definedName name="OSRRefD22_8x_0" localSheetId="71">'405'!$D$61</definedName>
    <definedName name="OSRRefD22_8x_0" localSheetId="73">'411'!$D$54:$D$57</definedName>
    <definedName name="OSRRefD22_8x_0" localSheetId="77">'415'!$D$62</definedName>
    <definedName name="OSRRefD22_8x_0" localSheetId="78">'418'!$D$59:$D$60</definedName>
    <definedName name="OSRRefD22_8x_0" localSheetId="83">'430'!$D$55</definedName>
    <definedName name="OSRRefD22_8x_0" localSheetId="84">'433'!$D$61</definedName>
    <definedName name="OSRRefD22_8x_0" localSheetId="86">'444'!$D$61</definedName>
    <definedName name="OSRRefD22_8x_0" localSheetId="87">'450'!$D$61</definedName>
    <definedName name="OSRRefD22_8x_0" localSheetId="70">'491'!$D$63:$D$64</definedName>
    <definedName name="OSRRefD22_8x_0" localSheetId="82">'492'!$D$63</definedName>
    <definedName name="OSRRefD22_8x_0" localSheetId="89">'501'!$D$56</definedName>
    <definedName name="OSRRefD22_8x_0" localSheetId="39">'Div 2'!$D$56</definedName>
    <definedName name="OSRRefD22_8x_0" localSheetId="47">'Div 3'!$D$96</definedName>
    <definedName name="OSRRefD22_8x_0" localSheetId="68">'Div 4'!$D$66</definedName>
    <definedName name="OSRRefD22_8x_0" localSheetId="88">'Div 5'!$D$56</definedName>
    <definedName name="OSRRefD22_8x_0" localSheetId="61">'Div 6'!$D$69</definedName>
    <definedName name="OSRRefD22_8x_0" localSheetId="2">Summary!$D$104</definedName>
    <definedName name="OSRRefD22_9x_0" localSheetId="41">'201'!$D$55:$D$57</definedName>
    <definedName name="OSRRefD22_9x_0" localSheetId="42">'202'!$D$57:$D$58</definedName>
    <definedName name="OSRRefD22_9x_0" localSheetId="43">'203'!$D$58:$D$59</definedName>
    <definedName name="OSRRefD22_9x_0" localSheetId="44">'204'!$D$61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5">'307'!$D$70:$D$71</definedName>
    <definedName name="OSRRefD22_9x_0" localSheetId="51">'308'!$D$72:$D$74</definedName>
    <definedName name="OSRRefD22_9x_0" localSheetId="64">'309'!$D$47:$D$48</definedName>
    <definedName name="OSRRefD22_9x_0" localSheetId="63">'310'!$D$66</definedName>
    <definedName name="OSRRefD22_9x_0" localSheetId="69">'310 &amp; 491'!$D$67</definedName>
    <definedName name="OSRRefD22_9x_0" localSheetId="52">'311'!$D$72:$D$74</definedName>
    <definedName name="OSRRefD22_9x_0" localSheetId="57">'315'!$D$80</definedName>
    <definedName name="OSRRefD22_9x_0" localSheetId="60">'316'!$D$65</definedName>
    <definedName name="OSRRefD22_9x_0" localSheetId="62">'317'!$D$71:$D$72</definedName>
    <definedName name="OSRRefD22_9x_0" localSheetId="65">'321'!$D$62:$D$64</definedName>
    <definedName name="OSRRefD22_9x_0" localSheetId="66">'325'!$D$61</definedName>
    <definedName name="OSRRefD22_9x_0" localSheetId="58">'326'!$D$64</definedName>
    <definedName name="OSRRefD22_9x_0" localSheetId="56">'331'!$D$80:$D$81</definedName>
    <definedName name="OSRRefD22_9x_0" localSheetId="59">'332'!$D$65</definedName>
    <definedName name="OSRRefD22_9x_0" localSheetId="54">'333'!$D$83:$D$84</definedName>
    <definedName name="OSRRefD22_9x_0" localSheetId="71">'405'!$D$63:$D$64</definedName>
    <definedName name="OSRRefD22_9x_0" localSheetId="73">'411'!$D$59:$D$61</definedName>
    <definedName name="OSRRefD22_9x_0" localSheetId="77">'415'!$D$64</definedName>
    <definedName name="OSRRefD22_9x_0" localSheetId="78">'418'!$D$62:$D$65</definedName>
    <definedName name="OSRRefD22_9x_0" localSheetId="84">'433'!$D$63</definedName>
    <definedName name="OSRRefD22_9x_0" localSheetId="86">'444'!$D$63</definedName>
    <definedName name="OSRRefD22_9x_0" localSheetId="87">'450'!$D$63</definedName>
    <definedName name="OSRRefD22_9x_0" localSheetId="70">'491'!$D$66</definedName>
    <definedName name="OSRRefD22_9x_0" localSheetId="82">'492'!$D$65</definedName>
    <definedName name="OSRRefD22_9x_0" localSheetId="89">'501'!$D$58:$D$60</definedName>
    <definedName name="OSRRefD22_9x_0" localSheetId="39">'Div 2'!$D$58</definedName>
    <definedName name="OSRRefD22_9x_0" localSheetId="47">'Div 3'!$D$98</definedName>
    <definedName name="OSRRefD22_9x_0" localSheetId="68">'Div 4'!$D$68:$D$69</definedName>
    <definedName name="OSRRefD22_9x_0" localSheetId="88">'Div 5'!$D$58:$D$60</definedName>
    <definedName name="OSRRefD22_9x_0" localSheetId="61">'Div 6'!$D$71:$D$72</definedName>
    <definedName name="OSRRefD22_9x_0" localSheetId="2">Summary!$D$106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'201'!$D$20:$D$28,'201'!$D$30:$D$39,'201'!$D$41,'201'!$D$43,'201'!$D$45,'201'!$D$47,'201'!$D$49,'201'!$D$51,'201'!$D$53,'201'!$D$55:$D$57,'201'!$D$59:$D$60,'201'!$D$62,'201'!$D$64:$D$65,'201'!$D$67,'201'!$D$69,'201'!$D$71</definedName>
    <definedName name="OSRRefD22x_0" localSheetId="42">'202'!$D$20:$D$28,'202'!$D$30:$D$39,'202'!$D$41,'202'!$D$43,'202'!$D$45,'202'!$D$47,'202'!$D$49,'202'!$D$51:$D$53,'202'!$D$55,'202'!$D$57:$D$58,'202'!$D$60,'202'!$D$62,'202'!$D$64</definedName>
    <definedName name="OSRRefD22x_0" localSheetId="43">'203'!$D$20:$D$29,'203'!$D$31:$D$40,'203'!$D$42,'203'!$D$44,'203'!$D$46,'203'!$D$48,'203'!$D$50,'203'!$D$52,'203'!$D$54:$D$56,'203'!$D$58:$D$59,'203'!$D$61:$D$62,'203'!$D$64:$D$67,'203'!$D$69,'203'!$D$71,'203'!$D$73</definedName>
    <definedName name="OSRRefD22x_0" localSheetId="44">'204'!$D$20:$D$28,'204'!$D$30:$D$39,'204'!$D$41,'204'!$D$43:$D$44,'204'!$D$46,'204'!$D$48:$D$51,'204'!$D$53:$D$54,'204'!$D$56,'204'!$D$58:$D$59,'204'!$D$61,'204'!$D$63</definedName>
    <definedName name="OSRRefD22x_0" localSheetId="45">'205'!$D$20:$D$28,'205'!$D$30:$D$39,'205'!$D$41,'205'!$D$43,'205'!$D$45:$D$47,'205'!$D$49,'205'!$D$51:$D$53,'205'!$D$55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$93,'301'!$D$95</definedName>
    <definedName name="OSRRefD22x_0" localSheetId="55">'307'!$D$34:$D$42,'307'!$D$44:$D$53,'307'!$D$55,'307'!$D$57,'307'!$D$59,'307'!$D$61:$D$62,'307'!$D$64,'307'!$D$66,'307'!$D$68,'307'!$D$70:$D$71,'307'!$D$73:$D$74,'307'!$D$76,'307'!$D$78:$D$81,'307'!$D$83</definedName>
    <definedName name="OSRRefD22x_0" localSheetId="51">'308'!$D$35:$D$44,'308'!$D$46:$D$55,'308'!$D$57,'308'!$D$59,'308'!$D$61,'308'!$D$63,'308'!$D$65:$D$66,'308'!$D$68,'308'!$D$70,'308'!$D$72:$D$74,'308'!$D$76:$D$77,'308'!$D$79:$D$80,'308'!$D$82:$D$83,'308'!$D$85</definedName>
    <definedName name="OSRRefD22x_0" localSheetId="64">'309'!$D$26:$D$27,'309'!$D$29:$D$30,'309'!$D$32,'309'!$D$34,'309'!$D$36,'309'!$D$38,'309'!$D$40,'309'!$D$42,'309'!$D$44:$D$45,'309'!$D$47:$D$48,'309'!$D$50:$D$51,'309'!$D$53,'309'!$D$55</definedName>
    <definedName name="OSRRefD22x_0" localSheetId="63">'310'!$D$29:$D$38,'310'!$D$40:$D$49,'310'!$D$51,'310'!$D$53,'310'!$D$55,'310'!$D$57:$D$58,'310'!$D$60,'310'!$D$62,'310'!$D$64,'310'!$D$66,'310'!$D$68,'310'!$D$70:$D$72,'310'!$D$74:$D$75,'310'!$D$77:$D$79,'310'!$D$81:$D$86,'310'!$D$88:$D$89,'310'!$D$91,'310'!$D$93</definedName>
    <definedName name="OSRRefD22x_0" localSheetId="69">'310 &amp; 491'!$D$29:$D$38,'310 &amp; 491'!$D$40:$D$49,'310 &amp; 491'!$D$51,'310 &amp; 491'!$D$53,'310 &amp; 491'!$D$55,'310 &amp; 491'!$D$57:$D$58,'310 &amp; 491'!$D$60,'310 &amp; 491'!$D$62,'310 &amp; 491'!$D$64:$D$65,'310 &amp; 491'!$D$67,'310 &amp; 491'!$D$69,'310 &amp; 491'!$D$71,'310 &amp; 491'!$D$73:$D$76,'310 &amp; 491'!$D$78:$D$79,'310 &amp; 491'!$D$81:$D$85,'310 &amp; 491'!$D$87,'310 &amp; 491'!$D$89:$D$98,'310 &amp; 491'!$D$100:$D$101,'310 &amp; 491'!$D$103,'310 &amp; 491'!$D$105:$D$106,'310 &amp; 491'!$D$108</definedName>
    <definedName name="OSRRefD22x_0" localSheetId="52">'311'!$D$35:$D$44,'311'!$D$46:$D$55,'311'!$D$57,'311'!$D$59,'311'!$D$61,'311'!$D$63,'311'!$D$65:$D$66,'311'!$D$68,'311'!$D$70,'311'!$D$72:$D$74,'311'!$D$76:$D$77,'311'!$D$79:$D$80,'311'!$D$82:$D$83,'311'!$D$85</definedName>
    <definedName name="OSRRefD22x_0" localSheetId="57">'315'!$D$44:$D$52,'315'!$D$54:$D$63,'315'!$D$65,'315'!$D$67,'315'!$D$69,'315'!$D$71,'315'!$D$73,'315'!$D$75,'315'!$D$77:$D$78,'315'!$D$80,'315'!$D$82,'315'!$D$84,'315'!$D$86:$D$87,'315'!$D$89:$D$91,'315'!$D$93:$D$94,'315'!$D$96:$D$99,'315'!$D$101,'315'!$D$103,'315'!$D$105</definedName>
    <definedName name="OSRRefD22x_0" localSheetId="60">'316'!$D$27:$D$35,'316'!$D$37:$D$46,'316'!$D$48,'316'!$D$50,'316'!$D$52,'316'!$D$54:$D$55,'316'!$D$57,'316'!$D$59:$D$61,'316'!$D$63,'316'!$D$65,'316'!$D$67:$D$71,'316'!$D$73</definedName>
    <definedName name="OSRRefD22x_0" localSheetId="62">'317'!$D$35:$D$44,'317'!$D$46:$D$55,'317'!$D$57,'317'!$D$59,'317'!$D$61,'317'!$D$63,'317'!$D$65,'317'!$D$67,'317'!$D$69,'317'!$D$71:$D$72,'317'!$D$74</definedName>
    <definedName name="OSRRefD22x_0" localSheetId="65">'321'!$D$24:$D$33,'321'!$D$35:$D$44,'321'!$D$46,'321'!$D$48,'321'!$D$50,'321'!$D$52,'321'!$D$54,'321'!$D$56:$D$57,'321'!$D$59:$D$60,'321'!$D$62:$D$64,'321'!$D$66:$D$69,'321'!$D$71,'321'!$D$73</definedName>
    <definedName name="OSRRefD22x_0" localSheetId="66">'325'!$D$25:$D$33,'325'!$D$35:$D$44,'325'!$D$46,'325'!$D$48,'325'!$D$50,'325'!$D$52:$D$53,'325'!$D$55,'325'!$D$57,'325'!$D$59,'325'!$D$61,'325'!$D$63,'325'!$D$65:$D$67,'325'!$D$69:$D$71,'325'!$D$73:$D$78,'325'!$D$80:$D$81,'325'!$D$83,'325'!$D$85</definedName>
    <definedName name="OSRRefD22x_0" localSheetId="58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7">'327'!$D$26,'327'!$D$28</definedName>
    <definedName name="OSRRefD22x_0" localSheetId="56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,'331'!$D$114:$D$115,'331'!$D$117</definedName>
    <definedName name="OSRRefD22x_0" localSheetId="59">'332'!$D$27:$D$35,'332'!$D$37:$D$46,'332'!$D$48,'332'!$D$50,'332'!$D$52,'332'!$D$54:$D$55,'332'!$D$57,'332'!$D$59:$D$61,'332'!$D$63,'332'!$D$65,'332'!$D$67:$D$71,'332'!$D$73</definedName>
    <definedName name="OSRRefD22x_0" localSheetId="54">'333'!$D$46:$D$54,'333'!$D$56:$D$65,'333'!$D$67,'333'!$D$69,'333'!$D$71,'333'!$D$73:$D$74,'333'!$D$76,'333'!$D$78,'333'!$D$80:$D$81,'333'!$D$83:$D$84,'333'!$D$86,'333'!$D$88,'333'!$D$90,'333'!$D$92,'333'!$D$94:$D$95,'333'!$D$97:$D$99,'333'!$D$101:$D$103,'333'!$D$105:$D$106,'333'!$D$108:$D$113,'333'!$D$115,'333'!$D$117,'333'!$D$119:$D$120,'333'!$D$122</definedName>
    <definedName name="OSRRefD22x_0" localSheetId="71">'405'!$D$27:$D$35,'405'!$D$37:$D$46,'405'!$D$48,'405'!$D$50,'405'!$D$52,'405'!$D$54:$D$55,'405'!$D$57,'405'!$D$59,'405'!$D$61,'405'!$D$63:$D$64,'405'!$D$66:$D$69,'405'!$D$71,'405'!$D$73:$D$81,'405'!$D$83,'405'!$D$85,'405'!$D$87,'405'!$D$89</definedName>
    <definedName name="OSRRefD22x_0" localSheetId="72">'406'!$D$20,'406'!$D$22</definedName>
    <definedName name="OSRRefD22x_0" localSheetId="73">'411'!$D$20:$D$28,'411'!$D$30:$D$39,'411'!$D$41,'411'!$D$43:$D$44,'411'!$D$46,'411'!$D$48,'411'!$D$50,'411'!$D$52,'411'!$D$54:$D$57,'411'!$D$59:$D$61,'411'!$D$63,'411'!$D$65:$D$66,'411'!$D$68,'411'!$D$70,'411'!$D$72:$D$73,'411'!$D$75</definedName>
    <definedName name="OSRRefD22x_0" localSheetId="74">'412'!$D$20,'412'!$D$22,'412'!$D$24,'412'!$D$26,'412'!$D$28</definedName>
    <definedName name="OSRRefD22x_0" localSheetId="75">'413'!$D$20,'413'!$D$22,'413'!$D$24</definedName>
    <definedName name="OSRRefD22x_0" localSheetId="76">'414'!$D$20,'414'!$D$22,'414'!$D$24</definedName>
    <definedName name="OSRRefD22x_0" localSheetId="77">'415'!$D$27:$D$36,'415'!$D$38:$D$47,'415'!$D$49,'415'!$D$51,'415'!$D$53,'415'!$D$55:$D$56,'415'!$D$58,'415'!$D$60,'415'!$D$62,'415'!$D$64,'415'!$D$66,'415'!$D$68:$D$69,'415'!$D$71:$D$74,'415'!$D$76,'415'!$D$78:$D$85,'415'!$D$87:$D$88,'415'!$D$90,'415'!$D$92</definedName>
    <definedName name="OSRRefD22x_0" localSheetId="78">'418'!$D$24:$D$32,'418'!$D$34:$D$43,'418'!$D$45,'418'!$D$47,'418'!$D$49:$D$50,'418'!$D$52,'418'!$D$54,'418'!$D$56:$D$57,'418'!$D$59:$D$60,'418'!$D$62:$D$65,'418'!$D$67,'418'!$D$69:$D$76,'418'!$D$78:$D$79,'418'!$D$81,'418'!$D$83,'418'!$D$85</definedName>
    <definedName name="OSRRefD22x_0" localSheetId="79">'423'!$D$20:$D$27,'423'!$D$29:$D$38,'423'!$D$40,'423'!$D$42,'423'!$D$44,'423'!$D$46</definedName>
    <definedName name="OSRRefD22x_0" localSheetId="80">'424'!$D$20,'424'!$D$22,'424'!$D$24</definedName>
    <definedName name="OSRRefD22x_0" localSheetId="81">'425'!$D$22,'425'!$D$24,'425'!$D$26,'425'!$D$28,'425'!$D$30,'425'!$D$32</definedName>
    <definedName name="OSRRefD22x_0" localSheetId="83">'430'!$D$20:$D$28,'430'!$D$30:$D$39,'430'!$D$41,'430'!$D$43,'430'!$D$45,'430'!$D$47:$D$48,'430'!$D$50:$D$51,'430'!$D$53,'430'!$D$55</definedName>
    <definedName name="OSRRefD22x_0" localSheetId="84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5">'435'!$D$23:$D$24,'435'!$D$26,'435'!$D$28,'435'!$D$30,'435'!$D$32</definedName>
    <definedName name="OSRRefD22x_0" localSheetId="86">'444'!$D$27:$D$36,'444'!$D$38:$D$47,'444'!$D$49,'444'!$D$51,'444'!$D$53,'444'!$D$55,'444'!$D$57,'444'!$D$59,'444'!$D$61,'444'!$D$63,'444'!$D$65,'444'!$D$67:$D$68,'444'!$D$70:$D$73,'444'!$D$75,'444'!$D$77:$D$85,'444'!$D$87,'444'!$D$89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0">'491'!$D$28:$D$37,'491'!$D$39:$D$48,'491'!$D$50,'491'!$D$52,'491'!$D$54,'491'!$D$56:$D$57,'491'!$D$59,'491'!$D$61,'491'!$D$63:$D$64,'491'!$D$66,'491'!$D$68,'491'!$D$70,'491'!$D$72:$D$75,'491'!$D$77,'491'!$D$79:$D$83,'491'!$D$85,'491'!$D$87:$D$96,'491'!$D$98:$D$99,'491'!$D$101,'491'!$D$103:$D$104,'491'!$D$106</definedName>
    <definedName name="OSRRefD22x_0" localSheetId="82">'492'!$D$29:$D$38,'492'!$D$40:$D$49,'492'!$D$51,'492'!$D$53,'492'!$D$55,'492'!$D$57,'492'!$D$59,'492'!$D$61,'492'!$D$63,'492'!$D$65,'492'!$D$67,'492'!$D$69,'492'!$D$71:$D$73,'492'!$D$75:$D$78,'492'!$D$80,'492'!$D$82:$D$90,'492'!$D$92:$D$93,'492'!$D$95,'492'!$D$97:$D$98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47">'Div 3'!$D$60:$D$69,'Div 3'!$D$71:$D$80,'Div 3'!$D$82,'Div 3'!$D$84,'Div 3'!$D$86,'Div 3'!$D$88:$D$89,'Div 3'!$D$91:$D$92,'Div 3'!$D$94,'Div 3'!$D$96,'Div 3'!$D$98,'Div 3'!$D$100:$D$101,'Div 3'!$D$103:$D$104,'Div 3'!$D$106,'Div 3'!$D$108,'Div 3'!$D$110,'Div 3'!$D$112,'Div 3'!$D$114,'Div 3'!$D$116:$D$119,'Div 3'!$D$121:$D$124,'Div 3'!$D$126:$D$129,'Div 3'!$D$131:$D$132,'Div 3'!$D$134:$D$140,'Div 3'!$D$142:$D$143,'Div 3'!$D$145,'Div 3'!$D$147:$D$149,'Div 3'!$D$151</definedName>
    <definedName name="OSRRefD22x_0" localSheetId="68">'Div 4'!$D$31:$D$40,'Div 4'!$D$42:$D$51,'Div 4'!$D$53,'Div 4'!$D$55,'Div 4'!$D$57,'Div 4'!$D$59:$D$60,'Div 4'!$D$62,'Div 4'!$D$64,'Div 4'!$D$66,'Div 4'!$D$68:$D$69,'Div 4'!$D$71,'Div 4'!$D$73,'Div 4'!$D$75,'Div 4'!$D$77,'Div 4'!$D$79:$D$82,'Div 4'!$D$84,'Div 4'!$D$86:$D$90,'Div 4'!$D$92:$D$93,'Div 4'!$D$95:$D$104,'Div 4'!$D$106:$D$107,'Div 4'!$D$109,'Div 4'!$D$111:$D$112,'Div 4'!$D$114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6'!$D$69,'Div 6'!$D$71:$D$72,'Div 6'!$D$74</definedName>
    <definedName name="OSRRefD22x_0" localSheetId="2">Summary!$D$68:$D$77,Summary!$D$79:$D$88,Summary!$D$90,Summary!$D$92,Summary!$D$94,Summary!$D$96:$D$97,Summary!$D$99:$D$100,Summary!$D$102,Summary!$D$104,Summary!$D$106,Summary!$D$108:$D$109,Summary!$D$111:$D$113,Summary!$D$115,Summary!$D$117,Summary!$D$119,Summary!$D$121,Summary!$D$123,Summary!$D$125,Summary!$D$127:$D$130,Summary!$D$132:$D$135,Summary!$D$137:$D$141,Summary!$D$143:$D$144,Summary!$D$146:$D$155,Summary!$D$157:$D$158,Summary!$D$160,Summary!$D$162:$D$164,Summary!$D$166</definedName>
    <definedName name="OSRRefD25x_0" localSheetId="48">'300'!$D$145:$D$149</definedName>
    <definedName name="OSRRefD25x_0" localSheetId="49">'300 &amp; 317'!$D$151:$D$157</definedName>
    <definedName name="OSRRefD25x_0" localSheetId="50">'301'!$D$98:$D$99</definedName>
    <definedName name="OSRRefD25x_0" localSheetId="51">'308'!$D$88:$D$91</definedName>
    <definedName name="OSRRefD25x_0" localSheetId="69">'310 &amp; 491'!$D$111:$D$114</definedName>
    <definedName name="OSRRefD25x_0" localSheetId="52">'311'!$D$88:$D$91</definedName>
    <definedName name="OSRRefD25x_0" localSheetId="57">'315'!$D$108:$D$110</definedName>
    <definedName name="OSRRefD25x_0" localSheetId="60">'316'!$D$76</definedName>
    <definedName name="OSRRefD25x_0" localSheetId="62">'317'!$D$77:$D$79</definedName>
    <definedName name="OSRRefD25x_0" localSheetId="56">'331'!$D$120:$D$122</definedName>
    <definedName name="OSRRefD25x_0" localSheetId="59">'332'!$D$76</definedName>
    <definedName name="OSRRefD25x_0" localSheetId="54">'333'!$D$125:$D$127</definedName>
    <definedName name="OSRRefD25x_0" localSheetId="71">'405'!$D$92</definedName>
    <definedName name="OSRRefD25x_0" localSheetId="73">'411'!$D$78</definedName>
    <definedName name="OSRRefD25x_0" localSheetId="77">'415'!$D$95</definedName>
    <definedName name="OSRRefD25x_0" localSheetId="78">'418'!$D$88</definedName>
    <definedName name="OSRRefD25x_0" localSheetId="79">'423'!$D$49:$D$51</definedName>
    <definedName name="OSRRefD25x_0" localSheetId="70">'491'!$D$109:$D$112</definedName>
    <definedName name="OSRRefD25x_0" localSheetId="89">'501'!$D$73</definedName>
    <definedName name="OSRRefD25x_0" localSheetId="47">'Div 3'!$D$154:$D$158</definedName>
    <definedName name="OSRRefD25x_0" localSheetId="68">'Div 4'!$D$117:$D$120</definedName>
    <definedName name="OSRRefD25x_0" localSheetId="88">'Div 5'!$D$73</definedName>
    <definedName name="OSRRefD25x_0" localSheetId="61">'Div 6'!$D$77:$D$79</definedName>
    <definedName name="OSRRefD25x_0" localSheetId="2">Summary!$D$169:$D$176</definedName>
    <definedName name="OSRRefH13x_0" localSheetId="48">'300'!$H$13:$H$19</definedName>
    <definedName name="OSRRefH13x_0" localSheetId="49">'300 &amp; 317'!$H$13:$H$19</definedName>
    <definedName name="OSRRefH13x_0" localSheetId="55">'307'!$H$13:$H$16</definedName>
    <definedName name="OSRRefH13x_0" localSheetId="51">'308'!$H$13:$H$17</definedName>
    <definedName name="OSRRefH13x_0" localSheetId="64">'309'!$H$13:$H$16</definedName>
    <definedName name="OSRRefH13x_0" localSheetId="63">'310'!$H$13:$H$18</definedName>
    <definedName name="OSRRefH13x_0" localSheetId="69">'310 &amp; 491'!$H$13:$H$18</definedName>
    <definedName name="OSRRefH13x_0" localSheetId="52">'311'!$H$13:$H$17</definedName>
    <definedName name="OSRRefH13x_0" localSheetId="57">'315'!$H$13:$H$17</definedName>
    <definedName name="OSRRefH13x_0" localSheetId="60">'316'!$H$13:$H$17</definedName>
    <definedName name="OSRRefH13x_0" localSheetId="62">'317'!$H$13:$H$17</definedName>
    <definedName name="OSRRefH13x_0" localSheetId="65">'321'!$H$13:$H$14</definedName>
    <definedName name="OSRRefH13x_0" localSheetId="53">'324'!$H$13:$H$14</definedName>
    <definedName name="OSRRefH13x_0" localSheetId="66">'325'!$H$13:$H$14</definedName>
    <definedName name="OSRRefH13x_0" localSheetId="58">'326'!$H$13:$H$16</definedName>
    <definedName name="OSRRefH13x_0" localSheetId="67">'327'!$H$13:$H$15</definedName>
    <definedName name="OSRRefH13x_0" localSheetId="56">'331'!$H$13:$H$17</definedName>
    <definedName name="OSRRefH13x_0" localSheetId="59">'332'!$H$13:$H$17</definedName>
    <definedName name="OSRRefH13x_0" localSheetId="54">'333'!$H$13:$H$17</definedName>
    <definedName name="OSRRefH13x_0" localSheetId="71">'405'!$H$13:$H$16</definedName>
    <definedName name="OSRRefH13x_0" localSheetId="77">'415'!$H$13:$H$16</definedName>
    <definedName name="OSRRefH13x_0" localSheetId="78">'418'!$H$13:$H$14</definedName>
    <definedName name="OSRRefH13x_0" localSheetId="81">'425'!$H$13</definedName>
    <definedName name="OSRRefH13x_0" localSheetId="84">'433'!$H$13:$H$16</definedName>
    <definedName name="OSRRefH13x_0" localSheetId="85">'435'!$H$13:$H$14</definedName>
    <definedName name="OSRRefH13x_0" localSheetId="86">'444'!$H$13:$H$16</definedName>
    <definedName name="OSRRefH13x_0" localSheetId="87">'450'!$H$13:$H$16</definedName>
    <definedName name="OSRRefH13x_0" localSheetId="70">'491'!$H$13:$H$17</definedName>
    <definedName name="OSRRefH13x_0" localSheetId="82">'492'!$H$13:$H$18</definedName>
    <definedName name="OSRRefH13x_0" localSheetId="89">'501'!$H$13</definedName>
    <definedName name="OSRRefH13x_0" localSheetId="47">'Div 3'!$H$13:$H$23</definedName>
    <definedName name="OSRRefH13x_0" localSheetId="68">'Div 4'!$H$13:$H$20</definedName>
    <definedName name="OSRRefH13x_0" localSheetId="88">'Div 5'!$H$13</definedName>
    <definedName name="OSRRefH13x_0" localSheetId="61">'Div 6'!$H$13:$H$17</definedName>
    <definedName name="OSRRefH13x_0" localSheetId="2">Summary!$H$13:$H$25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5">'307'!$H$19:$H$28</definedName>
    <definedName name="OSRRefH16x_0" localSheetId="51">'308'!$H$20:$H$29</definedName>
    <definedName name="OSRRefH16x_0" localSheetId="64">'309'!$H$19:$H$20</definedName>
    <definedName name="OSRRefH16x_0" localSheetId="63">'310'!$H$21:$H$23</definedName>
    <definedName name="OSRRefH16x_0" localSheetId="69">'310 &amp; 491'!$H$21:$H$23</definedName>
    <definedName name="OSRRefH16x_0" localSheetId="52">'311'!$H$20:$H$29</definedName>
    <definedName name="OSRRefH16x_0" localSheetId="57">'315'!$H$20:$H$38</definedName>
    <definedName name="OSRRefH16x_0" localSheetId="60">'316'!$H$20:$H$21</definedName>
    <definedName name="OSRRefH16x_0" localSheetId="62">'317'!$H$20:$H$29</definedName>
    <definedName name="OSRRefH16x_0" localSheetId="65">'321'!$H$17:$H$18</definedName>
    <definedName name="OSRRefH16x_0" localSheetId="53">'324'!$H$17</definedName>
    <definedName name="OSRRefH16x_0" localSheetId="66">'325'!$H$17:$H$19</definedName>
    <definedName name="OSRRefH16x_0" localSheetId="58">'326'!$H$19:$H$22</definedName>
    <definedName name="OSRRefH16x_0" localSheetId="67">'327'!$H$18:$H$20</definedName>
    <definedName name="OSRRefH16x_0" localSheetId="56">'331'!$H$20:$H$38</definedName>
    <definedName name="OSRRefH16x_0" localSheetId="59">'332'!$H$20:$H$21</definedName>
    <definedName name="OSRRefH16x_0" localSheetId="54">'333'!$H$20:$H$40</definedName>
    <definedName name="OSRRefH16x_0" localSheetId="71">'405'!$H$19:$H$21</definedName>
    <definedName name="OSRRefH16x_0" localSheetId="77">'415'!$H$19:$H$21</definedName>
    <definedName name="OSRRefH16x_0" localSheetId="78">'418'!$H$17:$H$18</definedName>
    <definedName name="OSRRefH16x_0" localSheetId="81">'425'!$H$16</definedName>
    <definedName name="OSRRefH16x_0" localSheetId="84">'433'!$H$19:$H$21</definedName>
    <definedName name="OSRRefH16x_0" localSheetId="85">'435'!$H$17</definedName>
    <definedName name="OSRRefH16x_0" localSheetId="86">'444'!$H$19:$H$21</definedName>
    <definedName name="OSRRefH16x_0" localSheetId="87">'450'!$H$19:$H$21</definedName>
    <definedName name="OSRRefH16x_0" localSheetId="70">'491'!$H$20:$H$22</definedName>
    <definedName name="OSRRefH16x_0" localSheetId="82">'492'!$H$21:$H$23</definedName>
    <definedName name="OSRRefH16x_0" localSheetId="47">'Div 3'!$H$26:$H$54</definedName>
    <definedName name="OSRRefH16x_0" localSheetId="68">'Div 4'!$H$23:$H$25</definedName>
    <definedName name="OSRRefH16x_0" localSheetId="61">'Div 6'!$H$20:$H$29</definedName>
    <definedName name="OSRRefH16x_0" localSheetId="2">Summary!$H$28:$H$62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5">'307'!$H$34:$H$42</definedName>
    <definedName name="OSRRefH22_0x_0" localSheetId="51">'308'!$H$35:$H$44</definedName>
    <definedName name="OSRRefH22_0x_0" localSheetId="64">'309'!$H$26:$H$27</definedName>
    <definedName name="OSRRefH22_0x_0" localSheetId="63">'310'!$H$29:$H$38</definedName>
    <definedName name="OSRRefH22_0x_0" localSheetId="69">'310 &amp; 491'!$H$29:$H$38</definedName>
    <definedName name="OSRRefH22_0x_0" localSheetId="52">'311'!$H$35:$H$44</definedName>
    <definedName name="OSRRefH22_0x_0" localSheetId="57">'315'!$H$44:$H$52</definedName>
    <definedName name="OSRRefH22_0x_0" localSheetId="60">'316'!$H$27:$H$35</definedName>
    <definedName name="OSRRefH22_0x_0" localSheetId="62">'317'!$H$35:$H$44</definedName>
    <definedName name="OSRRefH22_0x_0" localSheetId="65">'321'!$H$24:$H$33</definedName>
    <definedName name="OSRRefH22_0x_0" localSheetId="66">'325'!$H$25:$H$33</definedName>
    <definedName name="OSRRefH22_0x_0" localSheetId="58">'326'!$H$28:$H$36</definedName>
    <definedName name="OSRRefH22_0x_0" localSheetId="67">'327'!$H$26</definedName>
    <definedName name="OSRRefH22_0x_0" localSheetId="56">'331'!$H$44:$H$52</definedName>
    <definedName name="OSRRefH22_0x_0" localSheetId="59">'332'!$H$27:$H$35</definedName>
    <definedName name="OSRRefH22_0x_0" localSheetId="54">'333'!$H$46:$H$54</definedName>
    <definedName name="OSRRefH22_0x_0" localSheetId="71">'405'!$H$27:$H$35</definedName>
    <definedName name="OSRRefH22_0x_0" localSheetId="72">'406'!$H$20</definedName>
    <definedName name="OSRRefH22_0x_0" localSheetId="73">'411'!$H$20:$H$28</definedName>
    <definedName name="OSRRefH22_0x_0" localSheetId="74">'412'!$H$20</definedName>
    <definedName name="OSRRefH22_0x_0" localSheetId="75">'413'!$H$20</definedName>
    <definedName name="OSRRefH22_0x_0" localSheetId="76">'414'!$H$20</definedName>
    <definedName name="OSRRefH22_0x_0" localSheetId="77">'415'!$H$27:$H$36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'425'!$H$22</definedName>
    <definedName name="OSRRefH22_0x_0" localSheetId="83">'430'!$H$20:$H$28</definedName>
    <definedName name="OSRRefH22_0x_0" localSheetId="84">'433'!$H$27:$H$36</definedName>
    <definedName name="OSRRefH22_0x_0" localSheetId="85">'435'!$H$23:$H$24</definedName>
    <definedName name="OSRRefH22_0x_0" localSheetId="86">'444'!$H$27:$H$36</definedName>
    <definedName name="OSRRefH22_0x_0" localSheetId="87">'450'!$H$27:$H$36</definedName>
    <definedName name="OSRRefH22_0x_0" localSheetId="70">'491'!$H$28:$H$37</definedName>
    <definedName name="OSRRefH22_0x_0" localSheetId="82">'492'!$H$29:$H$38</definedName>
    <definedName name="OSRRefH22_0x_0" localSheetId="89">'501'!$H$21:$H$30</definedName>
    <definedName name="OSRRefH22_0x_0" localSheetId="39">'Div 2'!$H$20:$H$30</definedName>
    <definedName name="OSRRefH22_0x_0" localSheetId="47">'Div 3'!$H$60:$H$69</definedName>
    <definedName name="OSRRefH22_0x_0" localSheetId="68">'Div 4'!$H$31:$H$40</definedName>
    <definedName name="OSRRefH22_0x_0" localSheetId="88">'Div 5'!$H$21:$H$30</definedName>
    <definedName name="OSRRefH22_0x_0" localSheetId="61">'Div 6'!$H$35:$H$44</definedName>
    <definedName name="OSRRefH22_0x_0" localSheetId="2">Summary!$H$68:$H$77</definedName>
    <definedName name="OSRRefH22_10x_0" localSheetId="41">'201'!$H$59:$H$60</definedName>
    <definedName name="OSRRefH22_10x_0" localSheetId="42">'202'!$H$60</definedName>
    <definedName name="OSRRefH22_10x_0" localSheetId="43">'203'!$H$61:$H$62</definedName>
    <definedName name="OSRRefH22_10x_0" localSheetId="44">'204'!$H$63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5">'307'!$H$73:$H$74</definedName>
    <definedName name="OSRRefH22_10x_0" localSheetId="51">'308'!$H$76:$H$77</definedName>
    <definedName name="OSRRefH22_10x_0" localSheetId="64">'309'!$H$50:$H$51</definedName>
    <definedName name="OSRRefH22_10x_0" localSheetId="63">'310'!$H$68</definedName>
    <definedName name="OSRRefH22_10x_0" localSheetId="69">'310 &amp; 491'!$H$69</definedName>
    <definedName name="OSRRefH22_10x_0" localSheetId="52">'311'!$H$76:$H$77</definedName>
    <definedName name="OSRRefH22_10x_0" localSheetId="57">'315'!$H$82</definedName>
    <definedName name="OSRRefH22_10x_0" localSheetId="60">'316'!$H$67:$H$71</definedName>
    <definedName name="OSRRefH22_10x_0" localSheetId="62">'317'!$H$74</definedName>
    <definedName name="OSRRefH22_10x_0" localSheetId="65">'321'!$H$66:$H$69</definedName>
    <definedName name="OSRRefH22_10x_0" localSheetId="66">'325'!$H$63</definedName>
    <definedName name="OSRRefH22_10x_0" localSheetId="58">'326'!$H$66</definedName>
    <definedName name="OSRRefH22_10x_0" localSheetId="56">'331'!$H$83</definedName>
    <definedName name="OSRRefH22_10x_0" localSheetId="59">'332'!$H$67:$H$71</definedName>
    <definedName name="OSRRefH22_10x_0" localSheetId="54">'333'!$H$86</definedName>
    <definedName name="OSRRefH22_10x_0" localSheetId="71">'405'!$H$66:$H$69</definedName>
    <definedName name="OSRRefH22_10x_0" localSheetId="73">'411'!$H$63</definedName>
    <definedName name="OSRRefH22_10x_0" localSheetId="77">'415'!$H$66</definedName>
    <definedName name="OSRRefH22_10x_0" localSheetId="78">'418'!$H$67</definedName>
    <definedName name="OSRRefH22_10x_0" localSheetId="84">'433'!$H$65</definedName>
    <definedName name="OSRRefH22_10x_0" localSheetId="86">'444'!$H$65</definedName>
    <definedName name="OSRRefH22_10x_0" localSheetId="87">'450'!$H$65</definedName>
    <definedName name="OSRRefH22_10x_0" localSheetId="70">'491'!$H$68</definedName>
    <definedName name="OSRRefH22_10x_0" localSheetId="82">'492'!$H$67</definedName>
    <definedName name="OSRRefH22_10x_0" localSheetId="89">'501'!$H$62</definedName>
    <definedName name="OSRRefH22_10x_0" localSheetId="39">'Div 2'!$H$60</definedName>
    <definedName name="OSRRefH22_10x_0" localSheetId="47">'Div 3'!$H$100:$H$101</definedName>
    <definedName name="OSRRefH22_10x_0" localSheetId="68">'Div 4'!$H$71</definedName>
    <definedName name="OSRRefH22_10x_0" localSheetId="88">'Div 5'!$H$62</definedName>
    <definedName name="OSRRefH22_10x_0" localSheetId="61">'Div 6'!$H$74</definedName>
    <definedName name="OSRRefH22_10x_0" localSheetId="2">Summary!$H$108:$H$109</definedName>
    <definedName name="OSRRefH22_11x_0" localSheetId="41">'201'!$H$62</definedName>
    <definedName name="OSRRefH22_11x_0" localSheetId="42">'202'!$H$62</definedName>
    <definedName name="OSRRefH22_11x_0" localSheetId="43">'203'!$H$64:$H$67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5">'307'!$H$76</definedName>
    <definedName name="OSRRefH22_11x_0" localSheetId="51">'308'!$H$79:$H$80</definedName>
    <definedName name="OSRRefH22_11x_0" localSheetId="64">'309'!$H$53</definedName>
    <definedName name="OSRRefH22_11x_0" localSheetId="63">'310'!$H$70:$H$72</definedName>
    <definedName name="OSRRefH22_11x_0" localSheetId="69">'310 &amp; 491'!$H$71</definedName>
    <definedName name="OSRRefH22_11x_0" localSheetId="52">'311'!$H$79:$H$80</definedName>
    <definedName name="OSRRefH22_11x_0" localSheetId="57">'315'!$H$84</definedName>
    <definedName name="OSRRefH22_11x_0" localSheetId="60">'316'!$H$73</definedName>
    <definedName name="OSRRefH22_11x_0" localSheetId="65">'321'!$H$71</definedName>
    <definedName name="OSRRefH22_11x_0" localSheetId="66">'325'!$H$65:$H$67</definedName>
    <definedName name="OSRRefH22_11x_0" localSheetId="58">'326'!$H$68:$H$69</definedName>
    <definedName name="OSRRefH22_11x_0" localSheetId="56">'331'!$H$85</definedName>
    <definedName name="OSRRefH22_11x_0" localSheetId="59">'332'!$H$73</definedName>
    <definedName name="OSRRefH22_11x_0" localSheetId="54">'333'!$H$88</definedName>
    <definedName name="OSRRefH22_11x_0" localSheetId="71">'405'!$H$71</definedName>
    <definedName name="OSRRefH22_11x_0" localSheetId="73">'411'!$H$65:$H$66</definedName>
    <definedName name="OSRRefH22_11x_0" localSheetId="77">'415'!$H$68:$H$69</definedName>
    <definedName name="OSRRefH22_11x_0" localSheetId="78">'418'!$H$69:$H$76</definedName>
    <definedName name="OSRRefH22_11x_0" localSheetId="84">'433'!$H$67:$H$69</definedName>
    <definedName name="OSRRefH22_11x_0" localSheetId="86">'444'!$H$67:$H$68</definedName>
    <definedName name="OSRRefH22_11x_0" localSheetId="87">'450'!$H$67:$H$69</definedName>
    <definedName name="OSRRefH22_11x_0" localSheetId="70">'491'!$H$70</definedName>
    <definedName name="OSRRefH22_11x_0" localSheetId="82">'492'!$H$69</definedName>
    <definedName name="OSRRefH22_11x_0" localSheetId="89">'501'!$H$64:$H$66</definedName>
    <definedName name="OSRRefH22_11x_0" localSheetId="39">'Div 2'!$H$62</definedName>
    <definedName name="OSRRefH22_11x_0" localSheetId="47">'Div 3'!$H$103:$H$104</definedName>
    <definedName name="OSRRefH22_11x_0" localSheetId="68">'Div 4'!$H$73</definedName>
    <definedName name="OSRRefH22_11x_0" localSheetId="88">'Div 5'!$H$64:$H$66</definedName>
    <definedName name="OSRRefH22_11x_0" localSheetId="2">Summary!$H$111:$H$113</definedName>
    <definedName name="OSRRefH22_12x_0" localSheetId="41">'201'!$H$64:$H$65</definedName>
    <definedName name="OSRRefH22_12x_0" localSheetId="42">'202'!$H$64</definedName>
    <definedName name="OSRRefH22_12x_0" localSheetId="43">'203'!$H$69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5">'307'!$H$78:$H$81</definedName>
    <definedName name="OSRRefH22_12x_0" localSheetId="51">'308'!$H$82:$H$83</definedName>
    <definedName name="OSRRefH22_12x_0" localSheetId="64">'309'!$H$55</definedName>
    <definedName name="OSRRefH22_12x_0" localSheetId="63">'310'!$H$74:$H$75</definedName>
    <definedName name="OSRRefH22_12x_0" localSheetId="69">'310 &amp; 491'!$H$73:$H$76</definedName>
    <definedName name="OSRRefH22_12x_0" localSheetId="52">'311'!$H$82:$H$83</definedName>
    <definedName name="OSRRefH22_12x_0" localSheetId="57">'315'!$H$86:$H$87</definedName>
    <definedName name="OSRRefH22_12x_0" localSheetId="65">'321'!$H$73</definedName>
    <definedName name="OSRRefH22_12x_0" localSheetId="66">'325'!$H$69:$H$71</definedName>
    <definedName name="OSRRefH22_12x_0" localSheetId="58">'326'!$H$71:$H$72</definedName>
    <definedName name="OSRRefH22_12x_0" localSheetId="56">'331'!$H$87</definedName>
    <definedName name="OSRRefH22_12x_0" localSheetId="54">'333'!$H$90</definedName>
    <definedName name="OSRRefH22_12x_0" localSheetId="71">'405'!$H$73:$H$81</definedName>
    <definedName name="OSRRefH22_12x_0" localSheetId="73">'411'!$H$68</definedName>
    <definedName name="OSRRefH22_12x_0" localSheetId="77">'415'!$H$71:$H$74</definedName>
    <definedName name="OSRRefH22_12x_0" localSheetId="78">'418'!$H$78:$H$79</definedName>
    <definedName name="OSRRefH22_12x_0" localSheetId="84">'433'!$H$71:$H$74</definedName>
    <definedName name="OSRRefH22_12x_0" localSheetId="86">'444'!$H$70:$H$73</definedName>
    <definedName name="OSRRefH22_12x_0" localSheetId="87">'450'!$H$71:$H$74</definedName>
    <definedName name="OSRRefH22_12x_0" localSheetId="70">'491'!$H$72:$H$75</definedName>
    <definedName name="OSRRefH22_12x_0" localSheetId="82">'492'!$H$71:$H$73</definedName>
    <definedName name="OSRRefH22_12x_0" localSheetId="89">'501'!$H$68</definedName>
    <definedName name="OSRRefH22_12x_0" localSheetId="39">'Div 2'!$H$64:$H$67</definedName>
    <definedName name="OSRRefH22_12x_0" localSheetId="47">'Div 3'!$H$106</definedName>
    <definedName name="OSRRefH22_12x_0" localSheetId="68">'Div 4'!$H$75</definedName>
    <definedName name="OSRRefH22_12x_0" localSheetId="88">'Div 5'!$H$68</definedName>
    <definedName name="OSRRefH22_12x_0" localSheetId="2">Summary!$H$115</definedName>
    <definedName name="OSRRefH22_13x_0" localSheetId="41">'201'!$H$67</definedName>
    <definedName name="OSRRefH22_13x_0" localSheetId="43">'203'!$H$71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55">'307'!$H$83</definedName>
    <definedName name="OSRRefH22_13x_0" localSheetId="51">'308'!$H$85</definedName>
    <definedName name="OSRRefH22_13x_0" localSheetId="63">'310'!$H$77:$H$79</definedName>
    <definedName name="OSRRefH22_13x_0" localSheetId="69">'310 &amp; 491'!$H$78:$H$79</definedName>
    <definedName name="OSRRefH22_13x_0" localSheetId="52">'311'!$H$85</definedName>
    <definedName name="OSRRefH22_13x_0" localSheetId="57">'315'!$H$89:$H$91</definedName>
    <definedName name="OSRRefH22_13x_0" localSheetId="66">'325'!$H$73:$H$78</definedName>
    <definedName name="OSRRefH22_13x_0" localSheetId="58">'326'!$H$74:$H$75</definedName>
    <definedName name="OSRRefH22_13x_0" localSheetId="56">'331'!$H$89</definedName>
    <definedName name="OSRRefH22_13x_0" localSheetId="54">'333'!$H$92</definedName>
    <definedName name="OSRRefH22_13x_0" localSheetId="71">'405'!$H$83</definedName>
    <definedName name="OSRRefH22_13x_0" localSheetId="73">'411'!$H$70</definedName>
    <definedName name="OSRRefH22_13x_0" localSheetId="77">'415'!$H$76</definedName>
    <definedName name="OSRRefH22_13x_0" localSheetId="78">'418'!$H$81</definedName>
    <definedName name="OSRRefH22_13x_0" localSheetId="84">'433'!$H$76:$H$83</definedName>
    <definedName name="OSRRefH22_13x_0" localSheetId="86">'444'!$H$75</definedName>
    <definedName name="OSRRefH22_13x_0" localSheetId="87">'450'!$H$76:$H$82</definedName>
    <definedName name="OSRRefH22_13x_0" localSheetId="70">'491'!$H$77</definedName>
    <definedName name="OSRRefH22_13x_0" localSheetId="82">'492'!$H$75:$H$78</definedName>
    <definedName name="OSRRefH22_13x_0" localSheetId="89">'501'!$H$70</definedName>
    <definedName name="OSRRefH22_13x_0" localSheetId="39">'Div 2'!$H$69:$H$72</definedName>
    <definedName name="OSRRefH22_13x_0" localSheetId="47">'Div 3'!$H$108</definedName>
    <definedName name="OSRRefH22_13x_0" localSheetId="68">'Div 4'!$H$77</definedName>
    <definedName name="OSRRefH22_13x_0" localSheetId="88">'Div 5'!$H$70</definedName>
    <definedName name="OSRRefH22_13x_0" localSheetId="2">Summary!$H$117</definedName>
    <definedName name="OSRRefH22_14x_0" localSheetId="41">'201'!$H$69</definedName>
    <definedName name="OSRRefH22_14x_0" localSheetId="43">'203'!$H$73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3">'310'!$H$81:$H$86</definedName>
    <definedName name="OSRRefH22_14x_0" localSheetId="69">'310 &amp; 491'!$H$81:$H$85</definedName>
    <definedName name="OSRRefH22_14x_0" localSheetId="57">'315'!$H$93:$H$94</definedName>
    <definedName name="OSRRefH22_14x_0" localSheetId="66">'325'!$H$80:$H$81</definedName>
    <definedName name="OSRRefH22_14x_0" localSheetId="58">'326'!$H$77:$H$79</definedName>
    <definedName name="OSRRefH22_14x_0" localSheetId="56">'331'!$H$91:$H$92</definedName>
    <definedName name="OSRRefH22_14x_0" localSheetId="54">'333'!$H$94:$H$95</definedName>
    <definedName name="OSRRefH22_14x_0" localSheetId="71">'405'!$H$85</definedName>
    <definedName name="OSRRefH22_14x_0" localSheetId="73">'411'!$H$72:$H$73</definedName>
    <definedName name="OSRRefH22_14x_0" localSheetId="77">'415'!$H$78:$H$85</definedName>
    <definedName name="OSRRefH22_14x_0" localSheetId="78">'418'!$H$83</definedName>
    <definedName name="OSRRefH22_14x_0" localSheetId="84">'433'!$H$85</definedName>
    <definedName name="OSRRefH22_14x_0" localSheetId="86">'444'!$H$77:$H$85</definedName>
    <definedName name="OSRRefH22_14x_0" localSheetId="87">'450'!$H$84</definedName>
    <definedName name="OSRRefH22_14x_0" localSheetId="70">'491'!$H$79:$H$83</definedName>
    <definedName name="OSRRefH22_14x_0" localSheetId="82">'492'!$H$80</definedName>
    <definedName name="OSRRefH22_14x_0" localSheetId="39">'Div 2'!$H$74:$H$75</definedName>
    <definedName name="OSRRefH22_14x_0" localSheetId="47">'Div 3'!$H$110</definedName>
    <definedName name="OSRRefH22_14x_0" localSheetId="68">'Div 4'!$H$79:$H$82</definedName>
    <definedName name="OSRRefH22_14x_0" localSheetId="2">Summary!$H$119</definedName>
    <definedName name="OSRRefH22_15x_0" localSheetId="41">'201'!$H$71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3">'310'!$H$88:$H$89</definedName>
    <definedName name="OSRRefH22_15x_0" localSheetId="69">'310 &amp; 491'!$H$87</definedName>
    <definedName name="OSRRefH22_15x_0" localSheetId="57">'315'!$H$96:$H$99</definedName>
    <definedName name="OSRRefH22_15x_0" localSheetId="66">'325'!$H$83</definedName>
    <definedName name="OSRRefH22_15x_0" localSheetId="58">'326'!$H$81</definedName>
    <definedName name="OSRRefH22_15x_0" localSheetId="56">'331'!$H$94:$H$96</definedName>
    <definedName name="OSRRefH22_15x_0" localSheetId="54">'333'!$H$97:$H$99</definedName>
    <definedName name="OSRRefH22_15x_0" localSheetId="71">'405'!$H$87</definedName>
    <definedName name="OSRRefH22_15x_0" localSheetId="73">'411'!$H$75</definedName>
    <definedName name="OSRRefH22_15x_0" localSheetId="77">'415'!$H$87:$H$88</definedName>
    <definedName name="OSRRefH22_15x_0" localSheetId="78">'418'!$H$85</definedName>
    <definedName name="OSRRefH22_15x_0" localSheetId="84">'433'!$H$87</definedName>
    <definedName name="OSRRefH22_15x_0" localSheetId="86">'444'!$H$87</definedName>
    <definedName name="OSRRefH22_15x_0" localSheetId="87">'450'!$H$86</definedName>
    <definedName name="OSRRefH22_15x_0" localSheetId="70">'491'!$H$85</definedName>
    <definedName name="OSRRefH22_15x_0" localSheetId="82">'492'!$H$82:$H$90</definedName>
    <definedName name="OSRRefH22_15x_0" localSheetId="39">'Div 2'!$H$77:$H$78</definedName>
    <definedName name="OSRRefH22_15x_0" localSheetId="47">'Div 3'!$H$112</definedName>
    <definedName name="OSRRefH22_15x_0" localSheetId="68">'Div 4'!$H$84</definedName>
    <definedName name="OSRRefH22_15x_0" localSheetId="2">Summary!$H$121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3">'310'!$H$91</definedName>
    <definedName name="OSRRefH22_16x_0" localSheetId="69">'310 &amp; 491'!$H$89:$H$98</definedName>
    <definedName name="OSRRefH22_16x_0" localSheetId="57">'315'!$H$101</definedName>
    <definedName name="OSRRefH22_16x_0" localSheetId="66">'325'!$H$85</definedName>
    <definedName name="OSRRefH22_16x_0" localSheetId="58">'326'!$H$83:$H$84</definedName>
    <definedName name="OSRRefH22_16x_0" localSheetId="56">'331'!$H$98:$H$99</definedName>
    <definedName name="OSRRefH22_16x_0" localSheetId="54">'333'!$H$101:$H$103</definedName>
    <definedName name="OSRRefH22_16x_0" localSheetId="71">'405'!$H$89</definedName>
    <definedName name="OSRRefH22_16x_0" localSheetId="77">'415'!$H$90</definedName>
    <definedName name="OSRRefH22_16x_0" localSheetId="86">'444'!$H$89</definedName>
    <definedName name="OSRRefH22_16x_0" localSheetId="87">'450'!$H$88</definedName>
    <definedName name="OSRRefH22_16x_0" localSheetId="70">'491'!$H$87:$H$96</definedName>
    <definedName name="OSRRefH22_16x_0" localSheetId="82">'492'!$H$92:$H$93</definedName>
    <definedName name="OSRRefH22_16x_0" localSheetId="39">'Div 2'!$H$80:$H$85</definedName>
    <definedName name="OSRRefH22_16x_0" localSheetId="47">'Div 3'!$H$114</definedName>
    <definedName name="OSRRefH22_16x_0" localSheetId="68">'Div 4'!$H$86:$H$90</definedName>
    <definedName name="OSRRefH22_16x_0" localSheetId="2">Summary!$H$123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63">'310'!$H$93</definedName>
    <definedName name="OSRRefH22_17x_0" localSheetId="69">'310 &amp; 491'!$H$100:$H$101</definedName>
    <definedName name="OSRRefH22_17x_0" localSheetId="57">'315'!$H$103</definedName>
    <definedName name="OSRRefH22_17x_0" localSheetId="58">'326'!$H$86</definedName>
    <definedName name="OSRRefH22_17x_0" localSheetId="56">'331'!$H$101:$H$102</definedName>
    <definedName name="OSRRefH22_17x_0" localSheetId="54">'333'!$H$105:$H$106</definedName>
    <definedName name="OSRRefH22_17x_0" localSheetId="77">'415'!$H$92</definedName>
    <definedName name="OSRRefH22_17x_0" localSheetId="70">'491'!$H$98:$H$99</definedName>
    <definedName name="OSRRefH22_17x_0" localSheetId="82">'492'!$H$95</definedName>
    <definedName name="OSRRefH22_17x_0" localSheetId="39">'Div 2'!$H$87:$H$88</definedName>
    <definedName name="OSRRefH22_17x_0" localSheetId="47">'Div 3'!$H$116:$H$119</definedName>
    <definedName name="OSRRefH22_17x_0" localSheetId="68">'Div 4'!$H$92:$H$93</definedName>
    <definedName name="OSRRefH22_17x_0" localSheetId="2">Summary!$H$125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69">'310 &amp; 491'!$H$103</definedName>
    <definedName name="OSRRefH22_18x_0" localSheetId="57">'315'!$H$105</definedName>
    <definedName name="OSRRefH22_18x_0" localSheetId="56">'331'!$H$104:$H$108</definedName>
    <definedName name="OSRRefH22_18x_0" localSheetId="54">'333'!$H$108:$H$113</definedName>
    <definedName name="OSRRefH22_18x_0" localSheetId="70">'491'!$H$101</definedName>
    <definedName name="OSRRefH22_18x_0" localSheetId="82">'492'!$H$97:$H$98</definedName>
    <definedName name="OSRRefH22_18x_0" localSheetId="39">'Div 2'!$H$90</definedName>
    <definedName name="OSRRefH22_18x_0" localSheetId="47">'Div 3'!$H$121:$H$124</definedName>
    <definedName name="OSRRefH22_18x_0" localSheetId="68">'Div 4'!$H$95:$H$104</definedName>
    <definedName name="OSRRefH22_18x_0" localSheetId="2">Summary!$H$127:$H$130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69">'310 &amp; 491'!$H$105:$H$106</definedName>
    <definedName name="OSRRefH22_19x_0" localSheetId="56">'331'!$H$110</definedName>
    <definedName name="OSRRefH22_19x_0" localSheetId="54">'333'!$H$115</definedName>
    <definedName name="OSRRefH22_19x_0" localSheetId="70">'491'!$H$103:$H$104</definedName>
    <definedName name="OSRRefH22_19x_0" localSheetId="39">'Div 2'!$H$92:$H$93</definedName>
    <definedName name="OSRRefH22_19x_0" localSheetId="47">'Div 3'!$H$126:$H$129</definedName>
    <definedName name="OSRRefH22_19x_0" localSheetId="68">'Div 4'!$H$106:$H$107</definedName>
    <definedName name="OSRRefH22_19x_0" localSheetId="2">Summary!$H$132:$H$135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5">'307'!$H$44:$H$53</definedName>
    <definedName name="OSRRefH22_1x_0" localSheetId="51">'308'!$H$46:$H$55</definedName>
    <definedName name="OSRRefH22_1x_0" localSheetId="64">'309'!$H$29:$H$30</definedName>
    <definedName name="OSRRefH22_1x_0" localSheetId="63">'310'!$H$40:$H$49</definedName>
    <definedName name="OSRRefH22_1x_0" localSheetId="69">'310 &amp; 491'!$H$40:$H$49</definedName>
    <definedName name="OSRRefH22_1x_0" localSheetId="52">'311'!$H$46:$H$55</definedName>
    <definedName name="OSRRefH22_1x_0" localSheetId="57">'315'!$H$54:$H$63</definedName>
    <definedName name="OSRRefH22_1x_0" localSheetId="60">'316'!$H$37:$H$46</definedName>
    <definedName name="OSRRefH22_1x_0" localSheetId="62">'317'!$H$46:$H$55</definedName>
    <definedName name="OSRRefH22_1x_0" localSheetId="65">'321'!$H$35:$H$44</definedName>
    <definedName name="OSRRefH22_1x_0" localSheetId="66">'325'!$H$35:$H$44</definedName>
    <definedName name="OSRRefH22_1x_0" localSheetId="58">'326'!$H$38:$H$47</definedName>
    <definedName name="OSRRefH22_1x_0" localSheetId="67">'327'!$H$28</definedName>
    <definedName name="OSRRefH22_1x_0" localSheetId="56">'331'!$H$54:$H$63</definedName>
    <definedName name="OSRRefH22_1x_0" localSheetId="59">'332'!$H$37:$H$46</definedName>
    <definedName name="OSRRefH22_1x_0" localSheetId="54">'333'!$H$56:$H$65</definedName>
    <definedName name="OSRRefH22_1x_0" localSheetId="71">'405'!$H$37:$H$46</definedName>
    <definedName name="OSRRefH22_1x_0" localSheetId="72">'406'!$H$22</definedName>
    <definedName name="OSRRefH22_1x_0" localSheetId="73">'411'!$H$30:$H$39</definedName>
    <definedName name="OSRRefH22_1x_0" localSheetId="74">'412'!$H$22</definedName>
    <definedName name="OSRRefH22_1x_0" localSheetId="75">'413'!$H$22</definedName>
    <definedName name="OSRRefH22_1x_0" localSheetId="76">'414'!$H$22</definedName>
    <definedName name="OSRRefH22_1x_0" localSheetId="77">'415'!$H$38:$H$47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'425'!$H$24</definedName>
    <definedName name="OSRRefH22_1x_0" localSheetId="83">'430'!$H$30:$H$39</definedName>
    <definedName name="OSRRefH22_1x_0" localSheetId="84">'433'!$H$38:$H$47</definedName>
    <definedName name="OSRRefH22_1x_0" localSheetId="85">'435'!$H$26</definedName>
    <definedName name="OSRRefH22_1x_0" localSheetId="86">'444'!$H$38:$H$47</definedName>
    <definedName name="OSRRefH22_1x_0" localSheetId="87">'450'!$H$38:$H$47</definedName>
    <definedName name="OSRRefH22_1x_0" localSheetId="70">'491'!$H$39:$H$48</definedName>
    <definedName name="OSRRefH22_1x_0" localSheetId="82">'492'!$H$40:$H$49</definedName>
    <definedName name="OSRRefH22_1x_0" localSheetId="89">'501'!$H$32:$H$41</definedName>
    <definedName name="OSRRefH22_1x_0" localSheetId="39">'Div 2'!$H$32:$H$41</definedName>
    <definedName name="OSRRefH22_1x_0" localSheetId="47">'Div 3'!$H$71:$H$80</definedName>
    <definedName name="OSRRefH22_1x_0" localSheetId="68">'Div 4'!$H$42:$H$51</definedName>
    <definedName name="OSRRefH22_1x_0" localSheetId="88">'Div 5'!$H$32:$H$41</definedName>
    <definedName name="OSRRefH22_1x_0" localSheetId="61">'Div 6'!$H$46:$H$55</definedName>
    <definedName name="OSRRefH22_1x_0" localSheetId="2">Summary!$H$79:$H$88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69">'310 &amp; 491'!$H$108</definedName>
    <definedName name="OSRRefH22_20x_0" localSheetId="56">'331'!$H$112</definedName>
    <definedName name="OSRRefH22_20x_0" localSheetId="54">'333'!$H$117</definedName>
    <definedName name="OSRRefH22_20x_0" localSheetId="70">'491'!$H$106</definedName>
    <definedName name="OSRRefH22_20x_0" localSheetId="47">'Div 3'!$H$131:$H$132</definedName>
    <definedName name="OSRRefH22_20x_0" localSheetId="68">'Div 4'!$H$109</definedName>
    <definedName name="OSRRefH22_20x_0" localSheetId="2">Summary!$H$137:$H$141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'301'!$H$92:$H$93</definedName>
    <definedName name="OSRRefH22_21x_0" localSheetId="56">'331'!$H$114:$H$115</definedName>
    <definedName name="OSRRefH22_21x_0" localSheetId="54">'333'!$H$119:$H$120</definedName>
    <definedName name="OSRRefH22_21x_0" localSheetId="47">'Div 3'!$H$134:$H$140</definedName>
    <definedName name="OSRRefH22_21x_0" localSheetId="68">'Div 4'!$H$111:$H$112</definedName>
    <definedName name="OSRRefH22_21x_0" localSheetId="2">Summary!$H$143:$H$144</definedName>
    <definedName name="OSRRefH22_22x_0" localSheetId="48">'300'!$H$136</definedName>
    <definedName name="OSRRefH22_22x_0" localSheetId="49">'300 &amp; 317'!$H$142</definedName>
    <definedName name="OSRRefH22_22x_0" localSheetId="50">'301'!$H$95</definedName>
    <definedName name="OSRRefH22_22x_0" localSheetId="56">'331'!$H$117</definedName>
    <definedName name="OSRRefH22_22x_0" localSheetId="54">'333'!$H$122</definedName>
    <definedName name="OSRRefH22_22x_0" localSheetId="47">'Div 3'!$H$142:$H$143</definedName>
    <definedName name="OSRRefH22_22x_0" localSheetId="68">'Div 4'!$H$114</definedName>
    <definedName name="OSRRefH22_22x_0" localSheetId="2">Summary!$H$146:$H$155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3'!$H$145</definedName>
    <definedName name="OSRRefH22_23x_0" localSheetId="2">Summary!$H$157:$H$158</definedName>
    <definedName name="OSRRefH22_24x_0" localSheetId="48">'300'!$H$142</definedName>
    <definedName name="OSRRefH22_24x_0" localSheetId="49">'300 &amp; 317'!$H$148</definedName>
    <definedName name="OSRRefH22_24x_0" localSheetId="47">'Div 3'!$H$147:$H$149</definedName>
    <definedName name="OSRRefH22_24x_0" localSheetId="2">Summary!$H$160</definedName>
    <definedName name="OSRRefH22_25x_0" localSheetId="47">'Div 3'!$H$151</definedName>
    <definedName name="OSRRefH22_25x_0" localSheetId="2">Summary!$H$162:$H$164</definedName>
    <definedName name="OSRRefH22_26x_0" localSheetId="2">Summary!$H$166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5">'307'!$H$55</definedName>
    <definedName name="OSRRefH22_2x_0" localSheetId="51">'308'!$H$57</definedName>
    <definedName name="OSRRefH22_2x_0" localSheetId="64">'309'!$H$32</definedName>
    <definedName name="OSRRefH22_2x_0" localSheetId="63">'310'!$H$51</definedName>
    <definedName name="OSRRefH22_2x_0" localSheetId="69">'310 &amp; 491'!$H$51</definedName>
    <definedName name="OSRRefH22_2x_0" localSheetId="52">'311'!$H$57</definedName>
    <definedName name="OSRRefH22_2x_0" localSheetId="57">'315'!$H$65</definedName>
    <definedName name="OSRRefH22_2x_0" localSheetId="60">'316'!$H$48</definedName>
    <definedName name="OSRRefH22_2x_0" localSheetId="62">'317'!$H$57</definedName>
    <definedName name="OSRRefH22_2x_0" localSheetId="65">'321'!$H$46</definedName>
    <definedName name="OSRRefH22_2x_0" localSheetId="66">'325'!$H$46</definedName>
    <definedName name="OSRRefH22_2x_0" localSheetId="58">'326'!$H$49</definedName>
    <definedName name="OSRRefH22_2x_0" localSheetId="56">'331'!$H$65</definedName>
    <definedName name="OSRRefH22_2x_0" localSheetId="59">'332'!$H$48</definedName>
    <definedName name="OSRRefH22_2x_0" localSheetId="54">'333'!$H$67</definedName>
    <definedName name="OSRRefH22_2x_0" localSheetId="71">'405'!$H$48</definedName>
    <definedName name="OSRRefH22_2x_0" localSheetId="73">'411'!$H$41</definedName>
    <definedName name="OSRRefH22_2x_0" localSheetId="74">'412'!$H$24</definedName>
    <definedName name="OSRRefH22_2x_0" localSheetId="75">'413'!$H$24</definedName>
    <definedName name="OSRRefH22_2x_0" localSheetId="76">'414'!$H$24</definedName>
    <definedName name="OSRRefH22_2x_0" localSheetId="77">'415'!$H$49</definedName>
    <definedName name="OSRRefH22_2x_0" localSheetId="78">'418'!$H$45</definedName>
    <definedName name="OSRRefH22_2x_0" localSheetId="79">'423'!$H$40</definedName>
    <definedName name="OSRRefH22_2x_0" localSheetId="80">'424'!$H$24</definedName>
    <definedName name="OSRRefH22_2x_0" localSheetId="81">'425'!$H$26</definedName>
    <definedName name="OSRRefH22_2x_0" localSheetId="83">'430'!$H$41</definedName>
    <definedName name="OSRRefH22_2x_0" localSheetId="84">'433'!$H$49</definedName>
    <definedName name="OSRRefH22_2x_0" localSheetId="85">'435'!$H$28</definedName>
    <definedName name="OSRRefH22_2x_0" localSheetId="86">'444'!$H$49</definedName>
    <definedName name="OSRRefH22_2x_0" localSheetId="87">'450'!$H$49</definedName>
    <definedName name="OSRRefH22_2x_0" localSheetId="70">'491'!$H$50</definedName>
    <definedName name="OSRRefH22_2x_0" localSheetId="82">'492'!$H$51</definedName>
    <definedName name="OSRRefH22_2x_0" localSheetId="89">'501'!$H$43</definedName>
    <definedName name="OSRRefH22_2x_0" localSheetId="39">'Div 2'!$H$43</definedName>
    <definedName name="OSRRefH22_2x_0" localSheetId="47">'Div 3'!$H$82</definedName>
    <definedName name="OSRRefH22_2x_0" localSheetId="68">'Div 4'!$H$53</definedName>
    <definedName name="OSRRefH22_2x_0" localSheetId="88">'Div 5'!$H$43</definedName>
    <definedName name="OSRRefH22_2x_0" localSheetId="61">'Div 6'!$H$57</definedName>
    <definedName name="OSRRefH22_2x_0" localSheetId="2">Summary!$H$90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5">'307'!$H$57</definedName>
    <definedName name="OSRRefH22_3x_0" localSheetId="51">'308'!$H$59</definedName>
    <definedName name="OSRRefH22_3x_0" localSheetId="64">'309'!$H$34</definedName>
    <definedName name="OSRRefH22_3x_0" localSheetId="63">'310'!$H$53</definedName>
    <definedName name="OSRRefH22_3x_0" localSheetId="69">'310 &amp; 491'!$H$53</definedName>
    <definedName name="OSRRefH22_3x_0" localSheetId="52">'311'!$H$59</definedName>
    <definedName name="OSRRefH22_3x_0" localSheetId="57">'315'!$H$67</definedName>
    <definedName name="OSRRefH22_3x_0" localSheetId="60">'316'!$H$50</definedName>
    <definedName name="OSRRefH22_3x_0" localSheetId="62">'317'!$H$59</definedName>
    <definedName name="OSRRefH22_3x_0" localSheetId="65">'321'!$H$48</definedName>
    <definedName name="OSRRefH22_3x_0" localSheetId="66">'325'!$H$48</definedName>
    <definedName name="OSRRefH22_3x_0" localSheetId="58">'326'!$H$51</definedName>
    <definedName name="OSRRefH22_3x_0" localSheetId="56">'331'!$H$67</definedName>
    <definedName name="OSRRefH22_3x_0" localSheetId="59">'332'!$H$50</definedName>
    <definedName name="OSRRefH22_3x_0" localSheetId="54">'333'!$H$69</definedName>
    <definedName name="OSRRefH22_3x_0" localSheetId="71">'405'!$H$50</definedName>
    <definedName name="OSRRefH22_3x_0" localSheetId="73">'411'!$H$43:$H$44</definedName>
    <definedName name="OSRRefH22_3x_0" localSheetId="74">'412'!$H$26</definedName>
    <definedName name="OSRRefH22_3x_0" localSheetId="77">'415'!$H$51</definedName>
    <definedName name="OSRRefH22_3x_0" localSheetId="78">'418'!$H$47</definedName>
    <definedName name="OSRRefH22_3x_0" localSheetId="79">'423'!$H$42</definedName>
    <definedName name="OSRRefH22_3x_0" localSheetId="81">'425'!$H$28</definedName>
    <definedName name="OSRRefH22_3x_0" localSheetId="83">'430'!$H$43</definedName>
    <definedName name="OSRRefH22_3x_0" localSheetId="84">'433'!$H$51</definedName>
    <definedName name="OSRRefH22_3x_0" localSheetId="85">'435'!$H$30</definedName>
    <definedName name="OSRRefH22_3x_0" localSheetId="86">'444'!$H$51</definedName>
    <definedName name="OSRRefH22_3x_0" localSheetId="87">'450'!$H$51</definedName>
    <definedName name="OSRRefH22_3x_0" localSheetId="70">'491'!$H$52</definedName>
    <definedName name="OSRRefH22_3x_0" localSheetId="82">'492'!$H$53</definedName>
    <definedName name="OSRRefH22_3x_0" localSheetId="89">'501'!$H$45</definedName>
    <definedName name="OSRRefH22_3x_0" localSheetId="39">'Div 2'!$H$45</definedName>
    <definedName name="OSRRefH22_3x_0" localSheetId="47">'Div 3'!$H$84</definedName>
    <definedName name="OSRRefH22_3x_0" localSheetId="68">'Div 4'!$H$55</definedName>
    <definedName name="OSRRefH22_3x_0" localSheetId="88">'Div 5'!$H$45</definedName>
    <definedName name="OSRRefH22_3x_0" localSheetId="61">'Div 6'!$H$59</definedName>
    <definedName name="OSRRefH22_3x_0" localSheetId="2">Summary!$H$92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'205'!$H$45:$H$47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5">'307'!$H$59</definedName>
    <definedName name="OSRRefH22_4x_0" localSheetId="51">'308'!$H$61</definedName>
    <definedName name="OSRRefH22_4x_0" localSheetId="64">'309'!$H$36</definedName>
    <definedName name="OSRRefH22_4x_0" localSheetId="63">'310'!$H$55</definedName>
    <definedName name="OSRRefH22_4x_0" localSheetId="69">'310 &amp; 491'!$H$55</definedName>
    <definedName name="OSRRefH22_4x_0" localSheetId="52">'311'!$H$61</definedName>
    <definedName name="OSRRefH22_4x_0" localSheetId="57">'315'!$H$69</definedName>
    <definedName name="OSRRefH22_4x_0" localSheetId="60">'316'!$H$52</definedName>
    <definedName name="OSRRefH22_4x_0" localSheetId="62">'317'!$H$61</definedName>
    <definedName name="OSRRefH22_4x_0" localSheetId="65">'321'!$H$50</definedName>
    <definedName name="OSRRefH22_4x_0" localSheetId="66">'325'!$H$50</definedName>
    <definedName name="OSRRefH22_4x_0" localSheetId="58">'326'!$H$53</definedName>
    <definedName name="OSRRefH22_4x_0" localSheetId="56">'331'!$H$69</definedName>
    <definedName name="OSRRefH22_4x_0" localSheetId="59">'332'!$H$52</definedName>
    <definedName name="OSRRefH22_4x_0" localSheetId="54">'333'!$H$71</definedName>
    <definedName name="OSRRefH22_4x_0" localSheetId="71">'405'!$H$52</definedName>
    <definedName name="OSRRefH22_4x_0" localSheetId="73">'411'!$H$46</definedName>
    <definedName name="OSRRefH22_4x_0" localSheetId="74">'412'!$H$28</definedName>
    <definedName name="OSRRefH22_4x_0" localSheetId="77">'415'!$H$53</definedName>
    <definedName name="OSRRefH22_4x_0" localSheetId="78">'418'!$H$49:$H$50</definedName>
    <definedName name="OSRRefH22_4x_0" localSheetId="79">'423'!$H$44</definedName>
    <definedName name="OSRRefH22_4x_0" localSheetId="81">'425'!$H$30</definedName>
    <definedName name="OSRRefH22_4x_0" localSheetId="83">'430'!$H$45</definedName>
    <definedName name="OSRRefH22_4x_0" localSheetId="84">'433'!$H$53</definedName>
    <definedName name="OSRRefH22_4x_0" localSheetId="85">'435'!$H$32</definedName>
    <definedName name="OSRRefH22_4x_0" localSheetId="86">'444'!$H$53</definedName>
    <definedName name="OSRRefH22_4x_0" localSheetId="87">'450'!$H$53</definedName>
    <definedName name="OSRRefH22_4x_0" localSheetId="70">'491'!$H$54</definedName>
    <definedName name="OSRRefH22_4x_0" localSheetId="82">'492'!$H$55</definedName>
    <definedName name="OSRRefH22_4x_0" localSheetId="89">'501'!$H$47</definedName>
    <definedName name="OSRRefH22_4x_0" localSheetId="39">'Div 2'!$H$47</definedName>
    <definedName name="OSRRefH22_4x_0" localSheetId="47">'Div 3'!$H$86</definedName>
    <definedName name="OSRRefH22_4x_0" localSheetId="68">'Div 4'!$H$57</definedName>
    <definedName name="OSRRefH22_4x_0" localSheetId="88">'Div 5'!$H$47</definedName>
    <definedName name="OSRRefH22_4x_0" localSheetId="61">'Div 6'!$H$61</definedName>
    <definedName name="OSRRefH22_4x_0" localSheetId="2">Summary!$H$94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'205'!$H$49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5">'307'!$H$61:$H$62</definedName>
    <definedName name="OSRRefH22_5x_0" localSheetId="51">'308'!$H$63</definedName>
    <definedName name="OSRRefH22_5x_0" localSheetId="64">'309'!$H$38</definedName>
    <definedName name="OSRRefH22_5x_0" localSheetId="63">'310'!$H$57:$H$58</definedName>
    <definedName name="OSRRefH22_5x_0" localSheetId="69">'310 &amp; 491'!$H$57:$H$58</definedName>
    <definedName name="OSRRefH22_5x_0" localSheetId="52">'311'!$H$63</definedName>
    <definedName name="OSRRefH22_5x_0" localSheetId="57">'315'!$H$71</definedName>
    <definedName name="OSRRefH22_5x_0" localSheetId="60">'316'!$H$54:$H$55</definedName>
    <definedName name="OSRRefH22_5x_0" localSheetId="62">'317'!$H$63</definedName>
    <definedName name="OSRRefH22_5x_0" localSheetId="65">'321'!$H$52</definedName>
    <definedName name="OSRRefH22_5x_0" localSheetId="66">'325'!$H$52:$H$53</definedName>
    <definedName name="OSRRefH22_5x_0" localSheetId="58">'326'!$H$55</definedName>
    <definedName name="OSRRefH22_5x_0" localSheetId="56">'331'!$H$71</definedName>
    <definedName name="OSRRefH22_5x_0" localSheetId="59">'332'!$H$54:$H$55</definedName>
    <definedName name="OSRRefH22_5x_0" localSheetId="54">'333'!$H$73:$H$74</definedName>
    <definedName name="OSRRefH22_5x_0" localSheetId="71">'405'!$H$54:$H$55</definedName>
    <definedName name="OSRRefH22_5x_0" localSheetId="73">'411'!$H$48</definedName>
    <definedName name="OSRRefH22_5x_0" localSheetId="77">'415'!$H$55:$H$56</definedName>
    <definedName name="OSRRefH22_5x_0" localSheetId="78">'418'!$H$52</definedName>
    <definedName name="OSRRefH22_5x_0" localSheetId="79">'423'!$H$46</definedName>
    <definedName name="OSRRefH22_5x_0" localSheetId="81">'425'!$H$32</definedName>
    <definedName name="OSRRefH22_5x_0" localSheetId="83">'430'!$H$47:$H$48</definedName>
    <definedName name="OSRRefH22_5x_0" localSheetId="84">'433'!$H$55</definedName>
    <definedName name="OSRRefH22_5x_0" localSheetId="86">'444'!$H$55</definedName>
    <definedName name="OSRRefH22_5x_0" localSheetId="87">'450'!$H$55</definedName>
    <definedName name="OSRRefH22_5x_0" localSheetId="70">'491'!$H$56:$H$57</definedName>
    <definedName name="OSRRefH22_5x_0" localSheetId="82">'492'!$H$57</definedName>
    <definedName name="OSRRefH22_5x_0" localSheetId="89">'501'!$H$49:$H$50</definedName>
    <definedName name="OSRRefH22_5x_0" localSheetId="39">'Div 2'!$H$49:$H$50</definedName>
    <definedName name="OSRRefH22_5x_0" localSheetId="47">'Div 3'!$H$88:$H$89</definedName>
    <definedName name="OSRRefH22_5x_0" localSheetId="68">'Div 4'!$H$59:$H$60</definedName>
    <definedName name="OSRRefH22_5x_0" localSheetId="88">'Div 5'!$H$49:$H$50</definedName>
    <definedName name="OSRRefH22_5x_0" localSheetId="61">'Div 6'!$H$63</definedName>
    <definedName name="OSRRefH22_5x_0" localSheetId="2">Summary!$H$96:$H$97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'204'!$H$53:$H$54</definedName>
    <definedName name="OSRRefH22_6x_0" localSheetId="45">'205'!$H$51:$H$53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5">'307'!$H$64</definedName>
    <definedName name="OSRRefH22_6x_0" localSheetId="51">'308'!$H$65:$H$66</definedName>
    <definedName name="OSRRefH22_6x_0" localSheetId="64">'309'!$H$40</definedName>
    <definedName name="OSRRefH22_6x_0" localSheetId="63">'310'!$H$60</definedName>
    <definedName name="OSRRefH22_6x_0" localSheetId="69">'310 &amp; 491'!$H$60</definedName>
    <definedName name="OSRRefH22_6x_0" localSheetId="52">'311'!$H$65:$H$66</definedName>
    <definedName name="OSRRefH22_6x_0" localSheetId="57">'315'!$H$73</definedName>
    <definedName name="OSRRefH22_6x_0" localSheetId="60">'316'!$H$57</definedName>
    <definedName name="OSRRefH22_6x_0" localSheetId="62">'317'!$H$65</definedName>
    <definedName name="OSRRefH22_6x_0" localSheetId="65">'321'!$H$54</definedName>
    <definedName name="OSRRefH22_6x_0" localSheetId="66">'325'!$H$55</definedName>
    <definedName name="OSRRefH22_6x_0" localSheetId="58">'326'!$H$57:$H$58</definedName>
    <definedName name="OSRRefH22_6x_0" localSheetId="56">'331'!$H$73</definedName>
    <definedName name="OSRRefH22_6x_0" localSheetId="59">'332'!$H$57</definedName>
    <definedName name="OSRRefH22_6x_0" localSheetId="54">'333'!$H$76</definedName>
    <definedName name="OSRRefH22_6x_0" localSheetId="71">'405'!$H$57</definedName>
    <definedName name="OSRRefH22_6x_0" localSheetId="73">'411'!$H$50</definedName>
    <definedName name="OSRRefH22_6x_0" localSheetId="77">'415'!$H$58</definedName>
    <definedName name="OSRRefH22_6x_0" localSheetId="78">'418'!$H$54</definedName>
    <definedName name="OSRRefH22_6x_0" localSheetId="83">'430'!$H$50:$H$51</definedName>
    <definedName name="OSRRefH22_6x_0" localSheetId="84">'433'!$H$57</definedName>
    <definedName name="OSRRefH22_6x_0" localSheetId="86">'444'!$H$57</definedName>
    <definedName name="OSRRefH22_6x_0" localSheetId="87">'450'!$H$57</definedName>
    <definedName name="OSRRefH22_6x_0" localSheetId="70">'491'!$H$59</definedName>
    <definedName name="OSRRefH22_6x_0" localSheetId="82">'492'!$H$59</definedName>
    <definedName name="OSRRefH22_6x_0" localSheetId="89">'501'!$H$52</definedName>
    <definedName name="OSRRefH22_6x_0" localSheetId="39">'Div 2'!$H$52</definedName>
    <definedName name="OSRRefH22_6x_0" localSheetId="47">'Div 3'!$H$91:$H$92</definedName>
    <definedName name="OSRRefH22_6x_0" localSheetId="68">'Div 4'!$H$62</definedName>
    <definedName name="OSRRefH22_6x_0" localSheetId="88">'Div 5'!$H$52</definedName>
    <definedName name="OSRRefH22_6x_0" localSheetId="61">'Div 6'!$H$65</definedName>
    <definedName name="OSRRefH22_6x_0" localSheetId="2">Summary!$H$99:$H$100</definedName>
    <definedName name="OSRRefH22_7x_0" localSheetId="41">'201'!$H$51</definedName>
    <definedName name="OSRRefH22_7x_0" localSheetId="42">'202'!$H$51:$H$53</definedName>
    <definedName name="OSRRefH22_7x_0" localSheetId="43">'203'!$H$52</definedName>
    <definedName name="OSRRefH22_7x_0" localSheetId="44">'204'!$H$56</definedName>
    <definedName name="OSRRefH22_7x_0" localSheetId="45">'205'!$H$55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5">'307'!$H$66</definedName>
    <definedName name="OSRRefH22_7x_0" localSheetId="51">'308'!$H$68</definedName>
    <definedName name="OSRRefH22_7x_0" localSheetId="64">'309'!$H$42</definedName>
    <definedName name="OSRRefH22_7x_0" localSheetId="63">'310'!$H$62</definedName>
    <definedName name="OSRRefH22_7x_0" localSheetId="69">'310 &amp; 491'!$H$62</definedName>
    <definedName name="OSRRefH22_7x_0" localSheetId="52">'311'!$H$68</definedName>
    <definedName name="OSRRefH22_7x_0" localSheetId="57">'315'!$H$75</definedName>
    <definedName name="OSRRefH22_7x_0" localSheetId="60">'316'!$H$59:$H$61</definedName>
    <definedName name="OSRRefH22_7x_0" localSheetId="62">'317'!$H$67</definedName>
    <definedName name="OSRRefH22_7x_0" localSheetId="65">'321'!$H$56:$H$57</definedName>
    <definedName name="OSRRefH22_7x_0" localSheetId="66">'325'!$H$57</definedName>
    <definedName name="OSRRefH22_7x_0" localSheetId="58">'326'!$H$60</definedName>
    <definedName name="OSRRefH22_7x_0" localSheetId="56">'331'!$H$75</definedName>
    <definedName name="OSRRefH22_7x_0" localSheetId="59">'332'!$H$59:$H$61</definedName>
    <definedName name="OSRRefH22_7x_0" localSheetId="54">'333'!$H$78</definedName>
    <definedName name="OSRRefH22_7x_0" localSheetId="71">'405'!$H$59</definedName>
    <definedName name="OSRRefH22_7x_0" localSheetId="73">'411'!$H$52</definedName>
    <definedName name="OSRRefH22_7x_0" localSheetId="77">'415'!$H$60</definedName>
    <definedName name="OSRRefH22_7x_0" localSheetId="78">'418'!$H$56:$H$57</definedName>
    <definedName name="OSRRefH22_7x_0" localSheetId="83">'430'!$H$53</definedName>
    <definedName name="OSRRefH22_7x_0" localSheetId="84">'433'!$H$59</definedName>
    <definedName name="OSRRefH22_7x_0" localSheetId="86">'444'!$H$59</definedName>
    <definedName name="OSRRefH22_7x_0" localSheetId="87">'450'!$H$59</definedName>
    <definedName name="OSRRefH22_7x_0" localSheetId="70">'491'!$H$61</definedName>
    <definedName name="OSRRefH22_7x_0" localSheetId="82">'492'!$H$61</definedName>
    <definedName name="OSRRefH22_7x_0" localSheetId="89">'501'!$H$54</definedName>
    <definedName name="OSRRefH22_7x_0" localSheetId="39">'Div 2'!$H$54</definedName>
    <definedName name="OSRRefH22_7x_0" localSheetId="47">'Div 3'!$H$94</definedName>
    <definedName name="OSRRefH22_7x_0" localSheetId="68">'Div 4'!$H$64</definedName>
    <definedName name="OSRRefH22_7x_0" localSheetId="88">'Div 5'!$H$54</definedName>
    <definedName name="OSRRefH22_7x_0" localSheetId="61">'Div 6'!$H$67</definedName>
    <definedName name="OSRRefH22_7x_0" localSheetId="2">Summary!$H$102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4">'204'!$H$58:$H$59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5">'307'!$H$68</definedName>
    <definedName name="OSRRefH22_8x_0" localSheetId="51">'308'!$H$70</definedName>
    <definedName name="OSRRefH22_8x_0" localSheetId="64">'309'!$H$44:$H$45</definedName>
    <definedName name="OSRRefH22_8x_0" localSheetId="63">'310'!$H$64</definedName>
    <definedName name="OSRRefH22_8x_0" localSheetId="69">'310 &amp; 491'!$H$64:$H$65</definedName>
    <definedName name="OSRRefH22_8x_0" localSheetId="52">'311'!$H$70</definedName>
    <definedName name="OSRRefH22_8x_0" localSheetId="57">'315'!$H$77:$H$78</definedName>
    <definedName name="OSRRefH22_8x_0" localSheetId="60">'316'!$H$63</definedName>
    <definedName name="OSRRefH22_8x_0" localSheetId="62">'317'!$H$69</definedName>
    <definedName name="OSRRefH22_8x_0" localSheetId="65">'321'!$H$59:$H$60</definedName>
    <definedName name="OSRRefH22_8x_0" localSheetId="66">'325'!$H$59</definedName>
    <definedName name="OSRRefH22_8x_0" localSheetId="58">'326'!$H$62</definedName>
    <definedName name="OSRRefH22_8x_0" localSheetId="56">'331'!$H$77:$H$78</definedName>
    <definedName name="OSRRefH22_8x_0" localSheetId="59">'332'!$H$63</definedName>
    <definedName name="OSRRefH22_8x_0" localSheetId="54">'333'!$H$80:$H$81</definedName>
    <definedName name="OSRRefH22_8x_0" localSheetId="71">'405'!$H$61</definedName>
    <definedName name="OSRRefH22_8x_0" localSheetId="73">'411'!$H$54:$H$57</definedName>
    <definedName name="OSRRefH22_8x_0" localSheetId="77">'415'!$H$62</definedName>
    <definedName name="OSRRefH22_8x_0" localSheetId="78">'418'!$H$59:$H$60</definedName>
    <definedName name="OSRRefH22_8x_0" localSheetId="83">'430'!$H$55</definedName>
    <definedName name="OSRRefH22_8x_0" localSheetId="84">'433'!$H$61</definedName>
    <definedName name="OSRRefH22_8x_0" localSheetId="86">'444'!$H$61</definedName>
    <definedName name="OSRRefH22_8x_0" localSheetId="87">'450'!$H$61</definedName>
    <definedName name="OSRRefH22_8x_0" localSheetId="70">'491'!$H$63:$H$64</definedName>
    <definedName name="OSRRefH22_8x_0" localSheetId="82">'492'!$H$63</definedName>
    <definedName name="OSRRefH22_8x_0" localSheetId="89">'501'!$H$56</definedName>
    <definedName name="OSRRefH22_8x_0" localSheetId="39">'Div 2'!$H$56</definedName>
    <definedName name="OSRRefH22_8x_0" localSheetId="47">'Div 3'!$H$96</definedName>
    <definedName name="OSRRefH22_8x_0" localSheetId="68">'Div 4'!$H$66</definedName>
    <definedName name="OSRRefH22_8x_0" localSheetId="88">'Div 5'!$H$56</definedName>
    <definedName name="OSRRefH22_8x_0" localSheetId="61">'Div 6'!$H$69</definedName>
    <definedName name="OSRRefH22_8x_0" localSheetId="2">Summary!$H$104</definedName>
    <definedName name="OSRRefH22_9x_0" localSheetId="41">'201'!$H$55:$H$57</definedName>
    <definedName name="OSRRefH22_9x_0" localSheetId="42">'202'!$H$57:$H$58</definedName>
    <definedName name="OSRRefH22_9x_0" localSheetId="43">'203'!$H$58:$H$59</definedName>
    <definedName name="OSRRefH22_9x_0" localSheetId="44">'204'!$H$61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5">'307'!$H$70:$H$71</definedName>
    <definedName name="OSRRefH22_9x_0" localSheetId="51">'308'!$H$72:$H$74</definedName>
    <definedName name="OSRRefH22_9x_0" localSheetId="64">'309'!$H$47:$H$48</definedName>
    <definedName name="OSRRefH22_9x_0" localSheetId="63">'310'!$H$66</definedName>
    <definedName name="OSRRefH22_9x_0" localSheetId="69">'310 &amp; 491'!$H$67</definedName>
    <definedName name="OSRRefH22_9x_0" localSheetId="52">'311'!$H$72:$H$74</definedName>
    <definedName name="OSRRefH22_9x_0" localSheetId="57">'315'!$H$80</definedName>
    <definedName name="OSRRefH22_9x_0" localSheetId="60">'316'!$H$65</definedName>
    <definedName name="OSRRefH22_9x_0" localSheetId="62">'317'!$H$71:$H$72</definedName>
    <definedName name="OSRRefH22_9x_0" localSheetId="65">'321'!$H$62:$H$64</definedName>
    <definedName name="OSRRefH22_9x_0" localSheetId="66">'325'!$H$61</definedName>
    <definedName name="OSRRefH22_9x_0" localSheetId="58">'326'!$H$64</definedName>
    <definedName name="OSRRefH22_9x_0" localSheetId="56">'331'!$H$80:$H$81</definedName>
    <definedName name="OSRRefH22_9x_0" localSheetId="59">'332'!$H$65</definedName>
    <definedName name="OSRRefH22_9x_0" localSheetId="54">'333'!$H$83:$H$84</definedName>
    <definedName name="OSRRefH22_9x_0" localSheetId="71">'405'!$H$63:$H$64</definedName>
    <definedName name="OSRRefH22_9x_0" localSheetId="73">'411'!$H$59:$H$61</definedName>
    <definedName name="OSRRefH22_9x_0" localSheetId="77">'415'!$H$64</definedName>
    <definedName name="OSRRefH22_9x_0" localSheetId="78">'418'!$H$62:$H$65</definedName>
    <definedName name="OSRRefH22_9x_0" localSheetId="84">'433'!$H$63</definedName>
    <definedName name="OSRRefH22_9x_0" localSheetId="86">'444'!$H$63</definedName>
    <definedName name="OSRRefH22_9x_0" localSheetId="87">'450'!$H$63</definedName>
    <definedName name="OSRRefH22_9x_0" localSheetId="70">'491'!$H$66</definedName>
    <definedName name="OSRRefH22_9x_0" localSheetId="82">'492'!$H$65</definedName>
    <definedName name="OSRRefH22_9x_0" localSheetId="89">'501'!$H$58:$H$60</definedName>
    <definedName name="OSRRefH22_9x_0" localSheetId="39">'Div 2'!$H$58</definedName>
    <definedName name="OSRRefH22_9x_0" localSheetId="47">'Div 3'!$H$98</definedName>
    <definedName name="OSRRefH22_9x_0" localSheetId="68">'Div 4'!$H$68:$H$69</definedName>
    <definedName name="OSRRefH22_9x_0" localSheetId="88">'Div 5'!$H$58:$H$60</definedName>
    <definedName name="OSRRefH22_9x_0" localSheetId="61">'Div 6'!$H$71:$H$72</definedName>
    <definedName name="OSRRefH22_9x_0" localSheetId="2">Summary!$H$106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'201'!$H$20:$H$28,'201'!$H$30:$H$39,'201'!$H$41,'201'!$H$43,'201'!$H$45,'201'!$H$47,'201'!$H$49,'201'!$H$51,'201'!$H$53,'201'!$H$55:$H$57,'201'!$H$59:$H$60,'201'!$H$62,'201'!$H$64:$H$65,'201'!$H$67,'201'!$H$69,'201'!$H$71</definedName>
    <definedName name="OSRRefH22x_0" localSheetId="42">'202'!$H$20:$H$28,'202'!$H$30:$H$39,'202'!$H$41,'202'!$H$43,'202'!$H$45,'202'!$H$47,'202'!$H$49,'202'!$H$51:$H$53,'202'!$H$55,'202'!$H$57:$H$58,'202'!$H$60,'202'!$H$62,'202'!$H$64</definedName>
    <definedName name="OSRRefH22x_0" localSheetId="43">'203'!$H$20:$H$29,'203'!$H$31:$H$40,'203'!$H$42,'203'!$H$44,'203'!$H$46,'203'!$H$48,'203'!$H$50,'203'!$H$52,'203'!$H$54:$H$56,'203'!$H$58:$H$59,'203'!$H$61:$H$62,'203'!$H$64:$H$67,'203'!$H$69,'203'!$H$71,'203'!$H$73</definedName>
    <definedName name="OSRRefH22x_0" localSheetId="44">'204'!$H$20:$H$28,'204'!$H$30:$H$39,'204'!$H$41,'204'!$H$43:$H$44,'204'!$H$46,'204'!$H$48:$H$51,'204'!$H$53:$H$54,'204'!$H$56,'204'!$H$58:$H$59,'204'!$H$61,'204'!$H$63</definedName>
    <definedName name="OSRRefH22x_0" localSheetId="45">'205'!$H$20:$H$28,'205'!$H$30:$H$39,'205'!$H$41,'205'!$H$43,'205'!$H$45:$H$47,'205'!$H$49,'205'!$H$51:$H$53,'205'!$H$55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$93,'301'!$H$95</definedName>
    <definedName name="OSRRefH22x_0" localSheetId="55">'307'!$H$34:$H$42,'307'!$H$44:$H$53,'307'!$H$55,'307'!$H$57,'307'!$H$59,'307'!$H$61:$H$62,'307'!$H$64,'307'!$H$66,'307'!$H$68,'307'!$H$70:$H$71,'307'!$H$73:$H$74,'307'!$H$76,'307'!$H$78:$H$81,'307'!$H$83</definedName>
    <definedName name="OSRRefH22x_0" localSheetId="51">'308'!$H$35:$H$44,'308'!$H$46:$H$55,'308'!$H$57,'308'!$H$59,'308'!$H$61,'308'!$H$63,'308'!$H$65:$H$66,'308'!$H$68,'308'!$H$70,'308'!$H$72:$H$74,'308'!$H$76:$H$77,'308'!$H$79:$H$80,'308'!$H$82:$H$83,'308'!$H$85</definedName>
    <definedName name="OSRRefH22x_0" localSheetId="64">'309'!$H$26:$H$27,'309'!$H$29:$H$30,'309'!$H$32,'309'!$H$34,'309'!$H$36,'309'!$H$38,'309'!$H$40,'309'!$H$42,'309'!$H$44:$H$45,'309'!$H$47:$H$48,'309'!$H$50:$H$51,'309'!$H$53,'309'!$H$55</definedName>
    <definedName name="OSRRefH22x_0" localSheetId="63">'310'!$H$29:$H$38,'310'!$H$40:$H$49,'310'!$H$51,'310'!$H$53,'310'!$H$55,'310'!$H$57:$H$58,'310'!$H$60,'310'!$H$62,'310'!$H$64,'310'!$H$66,'310'!$H$68,'310'!$H$70:$H$72,'310'!$H$74:$H$75,'310'!$H$77:$H$79,'310'!$H$81:$H$86,'310'!$H$88:$H$89,'310'!$H$91,'310'!$H$93</definedName>
    <definedName name="OSRRefH22x_0" localSheetId="69">'310 &amp; 491'!$H$29:$H$38,'310 &amp; 491'!$H$40:$H$49,'310 &amp; 491'!$H$51,'310 &amp; 491'!$H$53,'310 &amp; 491'!$H$55,'310 &amp; 491'!$H$57:$H$58,'310 &amp; 491'!$H$60,'310 &amp; 491'!$H$62,'310 &amp; 491'!$H$64:$H$65,'310 &amp; 491'!$H$67,'310 &amp; 491'!$H$69,'310 &amp; 491'!$H$71,'310 &amp; 491'!$H$73:$H$76,'310 &amp; 491'!$H$78:$H$79,'310 &amp; 491'!$H$81:$H$85,'310 &amp; 491'!$H$87,'310 &amp; 491'!$H$89:$H$98,'310 &amp; 491'!$H$100:$H$101,'310 &amp; 491'!$H$103,'310 &amp; 491'!$H$105:$H$106,'310 &amp; 491'!$H$108</definedName>
    <definedName name="OSRRefH22x_0" localSheetId="52">'311'!$H$35:$H$44,'311'!$H$46:$H$55,'311'!$H$57,'311'!$H$59,'311'!$H$61,'311'!$H$63,'311'!$H$65:$H$66,'311'!$H$68,'311'!$H$70,'311'!$H$72:$H$74,'311'!$H$76:$H$77,'311'!$H$79:$H$80,'311'!$H$82:$H$83,'311'!$H$85</definedName>
    <definedName name="OSRRefH22x_0" localSheetId="57">'315'!$H$44:$H$52,'315'!$H$54:$H$63,'315'!$H$65,'315'!$H$67,'315'!$H$69,'315'!$H$71,'315'!$H$73,'315'!$H$75,'315'!$H$77:$H$78,'315'!$H$80,'315'!$H$82,'315'!$H$84,'315'!$H$86:$H$87,'315'!$H$89:$H$91,'315'!$H$93:$H$94,'315'!$H$96:$H$99,'315'!$H$101,'315'!$H$103,'315'!$H$105</definedName>
    <definedName name="OSRRefH22x_0" localSheetId="60">'316'!$H$27:$H$35,'316'!$H$37:$H$46,'316'!$H$48,'316'!$H$50,'316'!$H$52,'316'!$H$54:$H$55,'316'!$H$57,'316'!$H$59:$H$61,'316'!$H$63,'316'!$H$65,'316'!$H$67:$H$71,'316'!$H$73</definedName>
    <definedName name="OSRRefH22x_0" localSheetId="62">'317'!$H$35:$H$44,'317'!$H$46:$H$55,'317'!$H$57,'317'!$H$59,'317'!$H$61,'317'!$H$63,'317'!$H$65,'317'!$H$67,'317'!$H$69,'317'!$H$71:$H$72,'317'!$H$74</definedName>
    <definedName name="OSRRefH22x_0" localSheetId="65">'321'!$H$24:$H$33,'321'!$H$35:$H$44,'321'!$H$46,'321'!$H$48,'321'!$H$50,'321'!$H$52,'321'!$H$54,'321'!$H$56:$H$57,'321'!$H$59:$H$60,'321'!$H$62:$H$64,'321'!$H$66:$H$69,'321'!$H$71,'321'!$H$73</definedName>
    <definedName name="OSRRefH22x_0" localSheetId="66">'325'!$H$25:$H$33,'325'!$H$35:$H$44,'325'!$H$46,'325'!$H$48,'325'!$H$50,'325'!$H$52:$H$53,'325'!$H$55,'325'!$H$57,'325'!$H$59,'325'!$H$61,'325'!$H$63,'325'!$H$65:$H$67,'325'!$H$69:$H$71,'325'!$H$73:$H$78,'325'!$H$80:$H$81,'325'!$H$83,'325'!$H$85</definedName>
    <definedName name="OSRRefH22x_0" localSheetId="58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7">'327'!$H$26,'327'!$H$28</definedName>
    <definedName name="OSRRefH22x_0" localSheetId="56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,'331'!$H$114:$H$115,'331'!$H$117</definedName>
    <definedName name="OSRRefH22x_0" localSheetId="59">'332'!$H$27:$H$35,'332'!$H$37:$H$46,'332'!$H$48,'332'!$H$50,'332'!$H$52,'332'!$H$54:$H$55,'332'!$H$57,'332'!$H$59:$H$61,'332'!$H$63,'332'!$H$65,'332'!$H$67:$H$71,'332'!$H$73</definedName>
    <definedName name="OSRRefH22x_0" localSheetId="54">'333'!$H$46:$H$54,'333'!$H$56:$H$65,'333'!$H$67,'333'!$H$69,'333'!$H$71,'333'!$H$73:$H$74,'333'!$H$76,'333'!$H$78,'333'!$H$80:$H$81,'333'!$H$83:$H$84,'333'!$H$86,'333'!$H$88,'333'!$H$90,'333'!$H$92,'333'!$H$94:$H$95,'333'!$H$97:$H$99,'333'!$H$101:$H$103,'333'!$H$105:$H$106,'333'!$H$108:$H$113,'333'!$H$115,'333'!$H$117,'333'!$H$119:$H$120,'333'!$H$122</definedName>
    <definedName name="OSRRefH22x_0" localSheetId="71">'405'!$H$27:$H$35,'405'!$H$37:$H$46,'405'!$H$48,'405'!$H$50,'405'!$H$52,'405'!$H$54:$H$55,'405'!$H$57,'405'!$H$59,'405'!$H$61,'405'!$H$63:$H$64,'405'!$H$66:$H$69,'405'!$H$71,'405'!$H$73:$H$81,'405'!$H$83,'405'!$H$85,'405'!$H$87,'405'!$H$89</definedName>
    <definedName name="OSRRefH22x_0" localSheetId="72">'406'!$H$20,'406'!$H$22</definedName>
    <definedName name="OSRRefH22x_0" localSheetId="73">'411'!$H$20:$H$28,'411'!$H$30:$H$39,'411'!$H$41,'411'!$H$43:$H$44,'411'!$H$46,'411'!$H$48,'411'!$H$50,'411'!$H$52,'411'!$H$54:$H$57,'411'!$H$59:$H$61,'411'!$H$63,'411'!$H$65:$H$66,'411'!$H$68,'411'!$H$70,'411'!$H$72:$H$73,'411'!$H$75</definedName>
    <definedName name="OSRRefH22x_0" localSheetId="74">'412'!$H$20,'412'!$H$22,'412'!$H$24,'412'!$H$26,'412'!$H$28</definedName>
    <definedName name="OSRRefH22x_0" localSheetId="75">'413'!$H$20,'413'!$H$22,'413'!$H$24</definedName>
    <definedName name="OSRRefH22x_0" localSheetId="76">'414'!$H$20,'414'!$H$22,'414'!$H$24</definedName>
    <definedName name="OSRRefH22x_0" localSheetId="77">'415'!$H$27:$H$36,'415'!$H$38:$H$47,'415'!$H$49,'415'!$H$51,'415'!$H$53,'415'!$H$55:$H$56,'415'!$H$58,'415'!$H$60,'415'!$H$62,'415'!$H$64,'415'!$H$66,'415'!$H$68:$H$69,'415'!$H$71:$H$74,'415'!$H$76,'415'!$H$78:$H$85,'415'!$H$87:$H$88,'415'!$H$90,'415'!$H$92</definedName>
    <definedName name="OSRRefH22x_0" localSheetId="78">'418'!$H$24:$H$32,'418'!$H$34:$H$43,'418'!$H$45,'418'!$H$47,'418'!$H$49:$H$50,'418'!$H$52,'418'!$H$54,'418'!$H$56:$H$57,'418'!$H$59:$H$60,'418'!$H$62:$H$65,'418'!$H$67,'418'!$H$69:$H$76,'418'!$H$78:$H$79,'418'!$H$81,'418'!$H$83,'418'!$H$85</definedName>
    <definedName name="OSRRefH22x_0" localSheetId="79">'423'!$H$20:$H$27,'423'!$H$29:$H$38,'423'!$H$40,'423'!$H$42,'423'!$H$44,'423'!$H$46</definedName>
    <definedName name="OSRRefH22x_0" localSheetId="80">'424'!$H$20,'424'!$H$22,'424'!$H$24</definedName>
    <definedName name="OSRRefH22x_0" localSheetId="81">'425'!$H$22,'425'!$H$24,'425'!$H$26,'425'!$H$28,'425'!$H$30,'425'!$H$32</definedName>
    <definedName name="OSRRefH22x_0" localSheetId="83">'430'!$H$20:$H$28,'430'!$H$30:$H$39,'430'!$H$41,'430'!$H$43,'430'!$H$45,'430'!$H$47:$H$48,'430'!$H$50:$H$51,'430'!$H$53,'430'!$H$55</definedName>
    <definedName name="OSRRefH22x_0" localSheetId="84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5">'435'!$H$23:$H$24,'435'!$H$26,'435'!$H$28,'435'!$H$30,'435'!$H$32</definedName>
    <definedName name="OSRRefH22x_0" localSheetId="86">'444'!$H$27:$H$36,'444'!$H$38:$H$47,'444'!$H$49,'444'!$H$51,'444'!$H$53,'444'!$H$55,'444'!$H$57,'444'!$H$59,'444'!$H$61,'444'!$H$63,'444'!$H$65,'444'!$H$67:$H$68,'444'!$H$70:$H$73,'444'!$H$75,'444'!$H$77:$H$85,'444'!$H$87,'444'!$H$89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0">'491'!$H$28:$H$37,'491'!$H$39:$H$48,'491'!$H$50,'491'!$H$52,'491'!$H$54,'491'!$H$56:$H$57,'491'!$H$59,'491'!$H$61,'491'!$H$63:$H$64,'491'!$H$66,'491'!$H$68,'491'!$H$70,'491'!$H$72:$H$75,'491'!$H$77,'491'!$H$79:$H$83,'491'!$H$85,'491'!$H$87:$H$96,'491'!$H$98:$H$99,'491'!$H$101,'491'!$H$103:$H$104,'491'!$H$106</definedName>
    <definedName name="OSRRefH22x_0" localSheetId="82">'492'!$H$29:$H$38,'492'!$H$40:$H$49,'492'!$H$51,'492'!$H$53,'492'!$H$55,'492'!$H$57,'492'!$H$59,'492'!$H$61,'492'!$H$63,'492'!$H$65,'492'!$H$67,'492'!$H$69,'492'!$H$71:$H$73,'492'!$H$75:$H$78,'492'!$H$80,'492'!$H$82:$H$90,'492'!$H$92:$H$93,'492'!$H$95,'492'!$H$97:$H$98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47">'Div 3'!$H$60:$H$69,'Div 3'!$H$71:$H$80,'Div 3'!$H$82,'Div 3'!$H$84,'Div 3'!$H$86,'Div 3'!$H$88:$H$89,'Div 3'!$H$91:$H$92,'Div 3'!$H$94,'Div 3'!$H$96,'Div 3'!$H$98,'Div 3'!$H$100:$H$101,'Div 3'!$H$103:$H$104,'Div 3'!$H$106,'Div 3'!$H$108,'Div 3'!$H$110,'Div 3'!$H$112,'Div 3'!$H$114,'Div 3'!$H$116:$H$119,'Div 3'!$H$121:$H$124,'Div 3'!$H$126:$H$129,'Div 3'!$H$131:$H$132,'Div 3'!$H$134:$H$140,'Div 3'!$H$142:$H$143,'Div 3'!$H$145,'Div 3'!$H$147:$H$149,'Div 3'!$H$151</definedName>
    <definedName name="OSRRefH22x_0" localSheetId="68">'Div 4'!$H$31:$H$40,'Div 4'!$H$42:$H$51,'Div 4'!$H$53,'Div 4'!$H$55,'Div 4'!$H$57,'Div 4'!$H$59:$H$60,'Div 4'!$H$62,'Div 4'!$H$64,'Div 4'!$H$66,'Div 4'!$H$68:$H$69,'Div 4'!$H$71,'Div 4'!$H$73,'Div 4'!$H$75,'Div 4'!$H$77,'Div 4'!$H$79:$H$82,'Div 4'!$H$84,'Div 4'!$H$86:$H$90,'Div 4'!$H$92:$H$93,'Div 4'!$H$95:$H$104,'Div 4'!$H$106:$H$107,'Div 4'!$H$109,'Div 4'!$H$111:$H$112,'Div 4'!$H$114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6'!$H$69,'Div 6'!$H$71:$H$72,'Div 6'!$H$74</definedName>
    <definedName name="OSRRefH22x_0" localSheetId="2">Summary!$H$68:$H$77,Summary!$H$79:$H$88,Summary!$H$90,Summary!$H$92,Summary!$H$94,Summary!$H$96:$H$97,Summary!$H$99:$H$100,Summary!$H$102,Summary!$H$104,Summary!$H$106,Summary!$H$108:$H$109,Summary!$H$111:$H$113,Summary!$H$115,Summary!$H$117,Summary!$H$119,Summary!$H$121,Summary!$H$123,Summary!$H$125,Summary!$H$127:$H$130,Summary!$H$132:$H$135,Summary!$H$137:$H$141,Summary!$H$143:$H$144,Summary!$H$146:$H$155,Summary!$H$157:$H$158,Summary!$H$160,Summary!$H$162:$H$164,Summary!$H$166</definedName>
    <definedName name="OSRRefH25x_0" localSheetId="48">'300'!$H$145:$H$149</definedName>
    <definedName name="OSRRefH25x_0" localSheetId="49">'300 &amp; 317'!$H$151:$H$157</definedName>
    <definedName name="OSRRefH25x_0" localSheetId="50">'301'!$H$98:$H$99</definedName>
    <definedName name="OSRRefH25x_0" localSheetId="51">'308'!$H$88:$H$91</definedName>
    <definedName name="OSRRefH25x_0" localSheetId="69">'310 &amp; 491'!$H$111:$H$114</definedName>
    <definedName name="OSRRefH25x_0" localSheetId="52">'311'!$H$88:$H$91</definedName>
    <definedName name="OSRRefH25x_0" localSheetId="57">'315'!$H$108:$H$110</definedName>
    <definedName name="OSRRefH25x_0" localSheetId="60">'316'!$H$76</definedName>
    <definedName name="OSRRefH25x_0" localSheetId="62">'317'!$H$77:$H$79</definedName>
    <definedName name="OSRRefH25x_0" localSheetId="56">'331'!$H$120:$H$122</definedName>
    <definedName name="OSRRefH25x_0" localSheetId="59">'332'!$H$76</definedName>
    <definedName name="OSRRefH25x_0" localSheetId="54">'333'!$H$125:$H$127</definedName>
    <definedName name="OSRRefH25x_0" localSheetId="71">'405'!$H$92</definedName>
    <definedName name="OSRRefH25x_0" localSheetId="73">'411'!$H$78</definedName>
    <definedName name="OSRRefH25x_0" localSheetId="77">'415'!$H$95</definedName>
    <definedName name="OSRRefH25x_0" localSheetId="78">'418'!$H$88</definedName>
    <definedName name="OSRRefH25x_0" localSheetId="79">'423'!$H$49:$H$51</definedName>
    <definedName name="OSRRefH25x_0" localSheetId="70">'491'!$H$109:$H$112</definedName>
    <definedName name="OSRRefH25x_0" localSheetId="89">'501'!$H$73</definedName>
    <definedName name="OSRRefH25x_0" localSheetId="47">'Div 3'!$H$154:$H$158</definedName>
    <definedName name="OSRRefH25x_0" localSheetId="68">'Div 4'!$H$117:$H$120</definedName>
    <definedName name="OSRRefH25x_0" localSheetId="88">'Div 5'!$H$73</definedName>
    <definedName name="OSRRefH25x_0" localSheetId="61">'Div 6'!$H$77:$H$79</definedName>
    <definedName name="OSRRefH25x_0" localSheetId="2">Summary!$H$169:$H$176</definedName>
    <definedName name="OSRRefP13x_0" localSheetId="48">'300'!$P$13:$P$19</definedName>
    <definedName name="OSRRefP13x_0" localSheetId="49">'300 &amp; 317'!$P$13:$P$19</definedName>
    <definedName name="OSRRefP13x_0" localSheetId="55">'307'!$P$13:$P$16</definedName>
    <definedName name="OSRRefP13x_0" localSheetId="51">'308'!$P$13:$P$17</definedName>
    <definedName name="OSRRefP13x_0" localSheetId="64">'309'!$P$13:$P$16</definedName>
    <definedName name="OSRRefP13x_0" localSheetId="63">'310'!$P$13:$P$18</definedName>
    <definedName name="OSRRefP13x_0" localSheetId="69">'310 &amp; 491'!$P$13:$P$18</definedName>
    <definedName name="OSRRefP13x_0" localSheetId="52">'311'!$P$13:$P$17</definedName>
    <definedName name="OSRRefP13x_0" localSheetId="57">'315'!$P$13:$P$17</definedName>
    <definedName name="OSRRefP13x_0" localSheetId="60">'316'!$P$13:$P$17</definedName>
    <definedName name="OSRRefP13x_0" localSheetId="62">'317'!$P$13:$P$17</definedName>
    <definedName name="OSRRefP13x_0" localSheetId="65">'321'!$P$13:$P$14</definedName>
    <definedName name="OSRRefP13x_0" localSheetId="53">'324'!$P$13:$P$14</definedName>
    <definedName name="OSRRefP13x_0" localSheetId="66">'325'!$P$13:$P$14</definedName>
    <definedName name="OSRRefP13x_0" localSheetId="58">'326'!$P$13:$P$16</definedName>
    <definedName name="OSRRefP13x_0" localSheetId="67">'327'!$P$13:$P$15</definedName>
    <definedName name="OSRRefP13x_0" localSheetId="56">'331'!$P$13:$P$17</definedName>
    <definedName name="OSRRefP13x_0" localSheetId="59">'332'!$P$13:$P$17</definedName>
    <definedName name="OSRRefP13x_0" localSheetId="54">'333'!$P$13:$P$17</definedName>
    <definedName name="OSRRefP13x_0" localSheetId="71">'405'!$P$13:$P$16</definedName>
    <definedName name="OSRRefP13x_0" localSheetId="77">'415'!$P$13:$P$16</definedName>
    <definedName name="OSRRefP13x_0" localSheetId="78">'418'!$P$13:$P$14</definedName>
    <definedName name="OSRRefP13x_0" localSheetId="81">'425'!$P$13</definedName>
    <definedName name="OSRRefP13x_0" localSheetId="84">'433'!$P$13:$P$16</definedName>
    <definedName name="OSRRefP13x_0" localSheetId="85">'435'!$P$13:$P$14</definedName>
    <definedName name="OSRRefP13x_0" localSheetId="86">'444'!$P$13:$P$16</definedName>
    <definedName name="OSRRefP13x_0" localSheetId="87">'450'!$P$13:$P$16</definedName>
    <definedName name="OSRRefP13x_0" localSheetId="70">'491'!$P$13:$P$17</definedName>
    <definedName name="OSRRefP13x_0" localSheetId="82">'492'!$P$13:$P$18</definedName>
    <definedName name="OSRRefP13x_0" localSheetId="89">'501'!$P$13</definedName>
    <definedName name="OSRRefP13x_0" localSheetId="47">'Div 3'!$P$13:$P$23</definedName>
    <definedName name="OSRRefP13x_0" localSheetId="68">'Div 4'!$P$13:$P$20</definedName>
    <definedName name="OSRRefP13x_0" localSheetId="88">'Div 5'!$P$13</definedName>
    <definedName name="OSRRefP13x_0" localSheetId="61">'Div 6'!$P$13:$P$17</definedName>
    <definedName name="OSRRefP13x_0" localSheetId="2">Summary!$P$13:$P$25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5">'307'!$P$19:$P$28</definedName>
    <definedName name="OSRRefP16x_0" localSheetId="51">'308'!$P$20:$P$29</definedName>
    <definedName name="OSRRefP16x_0" localSheetId="64">'309'!$P$19:$P$20</definedName>
    <definedName name="OSRRefP16x_0" localSheetId="63">'310'!$P$21:$P$23</definedName>
    <definedName name="OSRRefP16x_0" localSheetId="69">'310 &amp; 491'!$P$21:$P$23</definedName>
    <definedName name="OSRRefP16x_0" localSheetId="52">'311'!$P$20:$P$29</definedName>
    <definedName name="OSRRefP16x_0" localSheetId="57">'315'!$P$20:$P$38</definedName>
    <definedName name="OSRRefP16x_0" localSheetId="60">'316'!$P$20:$P$21</definedName>
    <definedName name="OSRRefP16x_0" localSheetId="62">'317'!$P$20:$P$29</definedName>
    <definedName name="OSRRefP16x_0" localSheetId="65">'321'!$P$17:$P$18</definedName>
    <definedName name="OSRRefP16x_0" localSheetId="53">'324'!$P$17</definedName>
    <definedName name="OSRRefP16x_0" localSheetId="66">'325'!$P$17:$P$19</definedName>
    <definedName name="OSRRefP16x_0" localSheetId="58">'326'!$P$19:$P$22</definedName>
    <definedName name="OSRRefP16x_0" localSheetId="67">'327'!$P$18:$P$20</definedName>
    <definedName name="OSRRefP16x_0" localSheetId="56">'331'!$P$20:$P$38</definedName>
    <definedName name="OSRRefP16x_0" localSheetId="59">'332'!$P$20:$P$21</definedName>
    <definedName name="OSRRefP16x_0" localSheetId="54">'333'!$P$20:$P$40</definedName>
    <definedName name="OSRRefP16x_0" localSheetId="71">'405'!$P$19:$P$21</definedName>
    <definedName name="OSRRefP16x_0" localSheetId="77">'415'!$P$19:$P$21</definedName>
    <definedName name="OSRRefP16x_0" localSheetId="78">'418'!$P$17:$P$18</definedName>
    <definedName name="OSRRefP16x_0" localSheetId="81">'425'!$P$16</definedName>
    <definedName name="OSRRefP16x_0" localSheetId="84">'433'!$P$19:$P$21</definedName>
    <definedName name="OSRRefP16x_0" localSheetId="85">'435'!$P$17</definedName>
    <definedName name="OSRRefP16x_0" localSheetId="86">'444'!$P$19:$P$21</definedName>
    <definedName name="OSRRefP16x_0" localSheetId="87">'450'!$P$19:$P$21</definedName>
    <definedName name="OSRRefP16x_0" localSheetId="70">'491'!$P$20:$P$22</definedName>
    <definedName name="OSRRefP16x_0" localSheetId="82">'492'!$P$21:$P$23</definedName>
    <definedName name="OSRRefP16x_0" localSheetId="47">'Div 3'!$P$26:$P$54</definedName>
    <definedName name="OSRRefP16x_0" localSheetId="68">'Div 4'!$P$23:$P$25</definedName>
    <definedName name="OSRRefP16x_0" localSheetId="61">'Div 6'!$P$20:$P$29</definedName>
    <definedName name="OSRRefP16x_0" localSheetId="2">Summary!$P$28:$P$62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5">'307'!$P$34:$P$42</definedName>
    <definedName name="OSRRefP22_0x_0" localSheetId="51">'308'!$P$35:$P$44</definedName>
    <definedName name="OSRRefP22_0x_0" localSheetId="64">'309'!$P$26:$P$27</definedName>
    <definedName name="OSRRefP22_0x_0" localSheetId="63">'310'!$P$29:$P$38</definedName>
    <definedName name="OSRRefP22_0x_0" localSheetId="69">'310 &amp; 491'!$P$29:$P$38</definedName>
    <definedName name="OSRRefP22_0x_0" localSheetId="52">'311'!$P$35:$P$44</definedName>
    <definedName name="OSRRefP22_0x_0" localSheetId="57">'315'!$P$44:$P$52</definedName>
    <definedName name="OSRRefP22_0x_0" localSheetId="60">'316'!$P$27:$P$35</definedName>
    <definedName name="OSRRefP22_0x_0" localSheetId="62">'317'!$P$35:$P$44</definedName>
    <definedName name="OSRRefP22_0x_0" localSheetId="65">'321'!$P$24:$P$33</definedName>
    <definedName name="OSRRefP22_0x_0" localSheetId="66">'325'!$P$25:$P$33</definedName>
    <definedName name="OSRRefP22_0x_0" localSheetId="58">'326'!$P$28:$P$36</definedName>
    <definedName name="OSRRefP22_0x_0" localSheetId="67">'327'!$P$26</definedName>
    <definedName name="OSRRefP22_0x_0" localSheetId="56">'331'!$P$44:$P$52</definedName>
    <definedName name="OSRRefP22_0x_0" localSheetId="59">'332'!$P$27:$P$35</definedName>
    <definedName name="OSRRefP22_0x_0" localSheetId="54">'333'!$P$46:$P$54</definedName>
    <definedName name="OSRRefP22_0x_0" localSheetId="71">'405'!$P$27:$P$35</definedName>
    <definedName name="OSRRefP22_0x_0" localSheetId="72">'406'!$P$20</definedName>
    <definedName name="OSRRefP22_0x_0" localSheetId="73">'411'!$P$20:$P$28</definedName>
    <definedName name="OSRRefP22_0x_0" localSheetId="74">'412'!$P$20</definedName>
    <definedName name="OSRRefP22_0x_0" localSheetId="75">'413'!$P$20</definedName>
    <definedName name="OSRRefP22_0x_0" localSheetId="76">'414'!$P$20</definedName>
    <definedName name="OSRRefP22_0x_0" localSheetId="77">'415'!$P$27:$P$36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'425'!$P$22</definedName>
    <definedName name="OSRRefP22_0x_0" localSheetId="83">'430'!$P$20:$P$28</definedName>
    <definedName name="OSRRefP22_0x_0" localSheetId="84">'433'!$P$27:$P$36</definedName>
    <definedName name="OSRRefP22_0x_0" localSheetId="85">'435'!$P$23:$P$24</definedName>
    <definedName name="OSRRefP22_0x_0" localSheetId="86">'444'!$P$27:$P$36</definedName>
    <definedName name="OSRRefP22_0x_0" localSheetId="87">'450'!$P$27:$P$36</definedName>
    <definedName name="OSRRefP22_0x_0" localSheetId="70">'491'!$P$28:$P$37</definedName>
    <definedName name="OSRRefP22_0x_0" localSheetId="82">'492'!$P$29:$P$38</definedName>
    <definedName name="OSRRefP22_0x_0" localSheetId="89">'501'!$P$21:$P$30</definedName>
    <definedName name="OSRRefP22_0x_0" localSheetId="39">'Div 2'!$P$20:$P$30</definedName>
    <definedName name="OSRRefP22_0x_0" localSheetId="47">'Div 3'!$P$60:$P$69</definedName>
    <definedName name="OSRRefP22_0x_0" localSheetId="68">'Div 4'!$P$31:$P$40</definedName>
    <definedName name="OSRRefP22_0x_0" localSheetId="88">'Div 5'!$P$21:$P$30</definedName>
    <definedName name="OSRRefP22_0x_0" localSheetId="61">'Div 6'!$P$35:$P$44</definedName>
    <definedName name="OSRRefP22_0x_0" localSheetId="2">Summary!$P$68:$P$77</definedName>
    <definedName name="OSRRefP22_10x_0" localSheetId="41">'201'!$P$59:$P$60</definedName>
    <definedName name="OSRRefP22_10x_0" localSheetId="42">'202'!$P$60</definedName>
    <definedName name="OSRRefP22_10x_0" localSheetId="43">'203'!$P$61:$P$62</definedName>
    <definedName name="OSRRefP22_10x_0" localSheetId="44">'204'!$P$63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5">'307'!$P$73:$P$74</definedName>
    <definedName name="OSRRefP22_10x_0" localSheetId="51">'308'!$P$76:$P$77</definedName>
    <definedName name="OSRRefP22_10x_0" localSheetId="64">'309'!$P$50:$P$51</definedName>
    <definedName name="OSRRefP22_10x_0" localSheetId="63">'310'!$P$68</definedName>
    <definedName name="OSRRefP22_10x_0" localSheetId="69">'310 &amp; 491'!$P$69</definedName>
    <definedName name="OSRRefP22_10x_0" localSheetId="52">'311'!$P$76:$P$77</definedName>
    <definedName name="OSRRefP22_10x_0" localSheetId="57">'315'!$P$82</definedName>
    <definedName name="OSRRefP22_10x_0" localSheetId="60">'316'!$P$67:$P$71</definedName>
    <definedName name="OSRRefP22_10x_0" localSheetId="62">'317'!$P$74</definedName>
    <definedName name="OSRRefP22_10x_0" localSheetId="65">'321'!$P$66:$P$69</definedName>
    <definedName name="OSRRefP22_10x_0" localSheetId="66">'325'!$P$63</definedName>
    <definedName name="OSRRefP22_10x_0" localSheetId="58">'326'!$P$66</definedName>
    <definedName name="OSRRefP22_10x_0" localSheetId="56">'331'!$P$83</definedName>
    <definedName name="OSRRefP22_10x_0" localSheetId="59">'332'!$P$67:$P$71</definedName>
    <definedName name="OSRRefP22_10x_0" localSheetId="54">'333'!$P$86</definedName>
    <definedName name="OSRRefP22_10x_0" localSheetId="71">'405'!$P$66:$P$69</definedName>
    <definedName name="OSRRefP22_10x_0" localSheetId="73">'411'!$P$63</definedName>
    <definedName name="OSRRefP22_10x_0" localSheetId="77">'415'!$P$66</definedName>
    <definedName name="OSRRefP22_10x_0" localSheetId="78">'418'!$P$67</definedName>
    <definedName name="OSRRefP22_10x_0" localSheetId="84">'433'!$P$65</definedName>
    <definedName name="OSRRefP22_10x_0" localSheetId="86">'444'!$P$65</definedName>
    <definedName name="OSRRefP22_10x_0" localSheetId="87">'450'!$P$65</definedName>
    <definedName name="OSRRefP22_10x_0" localSheetId="70">'491'!$P$68</definedName>
    <definedName name="OSRRefP22_10x_0" localSheetId="82">'492'!$P$67</definedName>
    <definedName name="OSRRefP22_10x_0" localSheetId="89">'501'!$P$62</definedName>
    <definedName name="OSRRefP22_10x_0" localSheetId="39">'Div 2'!$P$60</definedName>
    <definedName name="OSRRefP22_10x_0" localSheetId="47">'Div 3'!$P$100:$P$101</definedName>
    <definedName name="OSRRefP22_10x_0" localSheetId="68">'Div 4'!$P$71</definedName>
    <definedName name="OSRRefP22_10x_0" localSheetId="88">'Div 5'!$P$62</definedName>
    <definedName name="OSRRefP22_10x_0" localSheetId="61">'Div 6'!$P$74</definedName>
    <definedName name="OSRRefP22_10x_0" localSheetId="2">Summary!$P$108:$P$109</definedName>
    <definedName name="OSRRefP22_11x_0" localSheetId="41">'201'!$P$62</definedName>
    <definedName name="OSRRefP22_11x_0" localSheetId="42">'202'!$P$62</definedName>
    <definedName name="OSRRefP22_11x_0" localSheetId="43">'203'!$P$64:$P$67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5">'307'!$P$76</definedName>
    <definedName name="OSRRefP22_11x_0" localSheetId="51">'308'!$P$79:$P$80</definedName>
    <definedName name="OSRRefP22_11x_0" localSheetId="64">'309'!$P$53</definedName>
    <definedName name="OSRRefP22_11x_0" localSheetId="63">'310'!$P$70:$P$72</definedName>
    <definedName name="OSRRefP22_11x_0" localSheetId="69">'310 &amp; 491'!$P$71</definedName>
    <definedName name="OSRRefP22_11x_0" localSheetId="52">'311'!$P$79:$P$80</definedName>
    <definedName name="OSRRefP22_11x_0" localSheetId="57">'315'!$P$84</definedName>
    <definedName name="OSRRefP22_11x_0" localSheetId="60">'316'!$P$73</definedName>
    <definedName name="OSRRefP22_11x_0" localSheetId="65">'321'!$P$71</definedName>
    <definedName name="OSRRefP22_11x_0" localSheetId="66">'325'!$P$65:$P$67</definedName>
    <definedName name="OSRRefP22_11x_0" localSheetId="58">'326'!$P$68:$P$69</definedName>
    <definedName name="OSRRefP22_11x_0" localSheetId="56">'331'!$P$85</definedName>
    <definedName name="OSRRefP22_11x_0" localSheetId="59">'332'!$P$73</definedName>
    <definedName name="OSRRefP22_11x_0" localSheetId="54">'333'!$P$88</definedName>
    <definedName name="OSRRefP22_11x_0" localSheetId="71">'405'!$P$71</definedName>
    <definedName name="OSRRefP22_11x_0" localSheetId="73">'411'!$P$65:$P$66</definedName>
    <definedName name="OSRRefP22_11x_0" localSheetId="77">'415'!$P$68:$P$69</definedName>
    <definedName name="OSRRefP22_11x_0" localSheetId="78">'418'!$P$69:$P$76</definedName>
    <definedName name="OSRRefP22_11x_0" localSheetId="84">'433'!$P$67:$P$69</definedName>
    <definedName name="OSRRefP22_11x_0" localSheetId="86">'444'!$P$67:$P$68</definedName>
    <definedName name="OSRRefP22_11x_0" localSheetId="87">'450'!$P$67:$P$69</definedName>
    <definedName name="OSRRefP22_11x_0" localSheetId="70">'491'!$P$70</definedName>
    <definedName name="OSRRefP22_11x_0" localSheetId="82">'492'!$P$69</definedName>
    <definedName name="OSRRefP22_11x_0" localSheetId="89">'501'!$P$64:$P$66</definedName>
    <definedName name="OSRRefP22_11x_0" localSheetId="39">'Div 2'!$P$62</definedName>
    <definedName name="OSRRefP22_11x_0" localSheetId="47">'Div 3'!$P$103:$P$104</definedName>
    <definedName name="OSRRefP22_11x_0" localSheetId="68">'Div 4'!$P$73</definedName>
    <definedName name="OSRRefP22_11x_0" localSheetId="88">'Div 5'!$P$64:$P$66</definedName>
    <definedName name="OSRRefP22_11x_0" localSheetId="2">Summary!$P$111:$P$113</definedName>
    <definedName name="OSRRefP22_12x_0" localSheetId="41">'201'!$P$64:$P$65</definedName>
    <definedName name="OSRRefP22_12x_0" localSheetId="42">'202'!$P$64</definedName>
    <definedName name="OSRRefP22_12x_0" localSheetId="43">'203'!$P$69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5">'307'!$P$78:$P$81</definedName>
    <definedName name="OSRRefP22_12x_0" localSheetId="51">'308'!$P$82:$P$83</definedName>
    <definedName name="OSRRefP22_12x_0" localSheetId="64">'309'!$P$55</definedName>
    <definedName name="OSRRefP22_12x_0" localSheetId="63">'310'!$P$74:$P$75</definedName>
    <definedName name="OSRRefP22_12x_0" localSheetId="69">'310 &amp; 491'!$P$73:$P$76</definedName>
    <definedName name="OSRRefP22_12x_0" localSheetId="52">'311'!$P$82:$P$83</definedName>
    <definedName name="OSRRefP22_12x_0" localSheetId="57">'315'!$P$86:$P$87</definedName>
    <definedName name="OSRRefP22_12x_0" localSheetId="65">'321'!$P$73</definedName>
    <definedName name="OSRRefP22_12x_0" localSheetId="66">'325'!$P$69:$P$71</definedName>
    <definedName name="OSRRefP22_12x_0" localSheetId="58">'326'!$P$71:$P$72</definedName>
    <definedName name="OSRRefP22_12x_0" localSheetId="56">'331'!$P$87</definedName>
    <definedName name="OSRRefP22_12x_0" localSheetId="54">'333'!$P$90</definedName>
    <definedName name="OSRRefP22_12x_0" localSheetId="71">'405'!$P$73:$P$81</definedName>
    <definedName name="OSRRefP22_12x_0" localSheetId="73">'411'!$P$68</definedName>
    <definedName name="OSRRefP22_12x_0" localSheetId="77">'415'!$P$71:$P$74</definedName>
    <definedName name="OSRRefP22_12x_0" localSheetId="78">'418'!$P$78:$P$79</definedName>
    <definedName name="OSRRefP22_12x_0" localSheetId="84">'433'!$P$71:$P$74</definedName>
    <definedName name="OSRRefP22_12x_0" localSheetId="86">'444'!$P$70:$P$73</definedName>
    <definedName name="OSRRefP22_12x_0" localSheetId="87">'450'!$P$71:$P$74</definedName>
    <definedName name="OSRRefP22_12x_0" localSheetId="70">'491'!$P$72:$P$75</definedName>
    <definedName name="OSRRefP22_12x_0" localSheetId="82">'492'!$P$71:$P$73</definedName>
    <definedName name="OSRRefP22_12x_0" localSheetId="89">'501'!$P$68</definedName>
    <definedName name="OSRRefP22_12x_0" localSheetId="39">'Div 2'!$P$64:$P$67</definedName>
    <definedName name="OSRRefP22_12x_0" localSheetId="47">'Div 3'!$P$106</definedName>
    <definedName name="OSRRefP22_12x_0" localSheetId="68">'Div 4'!$P$75</definedName>
    <definedName name="OSRRefP22_12x_0" localSheetId="88">'Div 5'!$P$68</definedName>
    <definedName name="OSRRefP22_12x_0" localSheetId="2">Summary!$P$115</definedName>
    <definedName name="OSRRefP22_13x_0" localSheetId="41">'201'!$P$67</definedName>
    <definedName name="OSRRefP22_13x_0" localSheetId="43">'203'!$P$71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55">'307'!$P$83</definedName>
    <definedName name="OSRRefP22_13x_0" localSheetId="51">'308'!$P$85</definedName>
    <definedName name="OSRRefP22_13x_0" localSheetId="63">'310'!$P$77:$P$79</definedName>
    <definedName name="OSRRefP22_13x_0" localSheetId="69">'310 &amp; 491'!$P$78:$P$79</definedName>
    <definedName name="OSRRefP22_13x_0" localSheetId="52">'311'!$P$85</definedName>
    <definedName name="OSRRefP22_13x_0" localSheetId="57">'315'!$P$89:$P$91</definedName>
    <definedName name="OSRRefP22_13x_0" localSheetId="66">'325'!$P$73:$P$78</definedName>
    <definedName name="OSRRefP22_13x_0" localSheetId="58">'326'!$P$74:$P$75</definedName>
    <definedName name="OSRRefP22_13x_0" localSheetId="56">'331'!$P$89</definedName>
    <definedName name="OSRRefP22_13x_0" localSheetId="54">'333'!$P$92</definedName>
    <definedName name="OSRRefP22_13x_0" localSheetId="71">'405'!$P$83</definedName>
    <definedName name="OSRRefP22_13x_0" localSheetId="73">'411'!$P$70</definedName>
    <definedName name="OSRRefP22_13x_0" localSheetId="77">'415'!$P$76</definedName>
    <definedName name="OSRRefP22_13x_0" localSheetId="78">'418'!$P$81</definedName>
    <definedName name="OSRRefP22_13x_0" localSheetId="84">'433'!$P$76:$P$83</definedName>
    <definedName name="OSRRefP22_13x_0" localSheetId="86">'444'!$P$75</definedName>
    <definedName name="OSRRefP22_13x_0" localSheetId="87">'450'!$P$76:$P$82</definedName>
    <definedName name="OSRRefP22_13x_0" localSheetId="70">'491'!$P$77</definedName>
    <definedName name="OSRRefP22_13x_0" localSheetId="82">'492'!$P$75:$P$78</definedName>
    <definedName name="OSRRefP22_13x_0" localSheetId="89">'501'!$P$70</definedName>
    <definedName name="OSRRefP22_13x_0" localSheetId="39">'Div 2'!$P$69:$P$72</definedName>
    <definedName name="OSRRefP22_13x_0" localSheetId="47">'Div 3'!$P$108</definedName>
    <definedName name="OSRRefP22_13x_0" localSheetId="68">'Div 4'!$P$77</definedName>
    <definedName name="OSRRefP22_13x_0" localSheetId="88">'Div 5'!$P$70</definedName>
    <definedName name="OSRRefP22_13x_0" localSheetId="2">Summary!$P$117</definedName>
    <definedName name="OSRRefP22_14x_0" localSheetId="41">'201'!$P$69</definedName>
    <definedName name="OSRRefP22_14x_0" localSheetId="43">'203'!$P$73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3">'310'!$P$81:$P$86</definedName>
    <definedName name="OSRRefP22_14x_0" localSheetId="69">'310 &amp; 491'!$P$81:$P$85</definedName>
    <definedName name="OSRRefP22_14x_0" localSheetId="57">'315'!$P$93:$P$94</definedName>
    <definedName name="OSRRefP22_14x_0" localSheetId="66">'325'!$P$80:$P$81</definedName>
    <definedName name="OSRRefP22_14x_0" localSheetId="58">'326'!$P$77:$P$79</definedName>
    <definedName name="OSRRefP22_14x_0" localSheetId="56">'331'!$P$91:$P$92</definedName>
    <definedName name="OSRRefP22_14x_0" localSheetId="54">'333'!$P$94:$P$95</definedName>
    <definedName name="OSRRefP22_14x_0" localSheetId="71">'405'!$P$85</definedName>
    <definedName name="OSRRefP22_14x_0" localSheetId="73">'411'!$P$72:$P$73</definedName>
    <definedName name="OSRRefP22_14x_0" localSheetId="77">'415'!$P$78:$P$85</definedName>
    <definedName name="OSRRefP22_14x_0" localSheetId="78">'418'!$P$83</definedName>
    <definedName name="OSRRefP22_14x_0" localSheetId="84">'433'!$P$85</definedName>
    <definedName name="OSRRefP22_14x_0" localSheetId="86">'444'!$P$77:$P$85</definedName>
    <definedName name="OSRRefP22_14x_0" localSheetId="87">'450'!$P$84</definedName>
    <definedName name="OSRRefP22_14x_0" localSheetId="70">'491'!$P$79:$P$83</definedName>
    <definedName name="OSRRefP22_14x_0" localSheetId="82">'492'!$P$80</definedName>
    <definedName name="OSRRefP22_14x_0" localSheetId="39">'Div 2'!$P$74:$P$75</definedName>
    <definedName name="OSRRefP22_14x_0" localSheetId="47">'Div 3'!$P$110</definedName>
    <definedName name="OSRRefP22_14x_0" localSheetId="68">'Div 4'!$P$79:$P$82</definedName>
    <definedName name="OSRRefP22_14x_0" localSheetId="2">Summary!$P$119</definedName>
    <definedName name="OSRRefP22_15x_0" localSheetId="41">'201'!$P$71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3">'310'!$P$88:$P$89</definedName>
    <definedName name="OSRRefP22_15x_0" localSheetId="69">'310 &amp; 491'!$P$87</definedName>
    <definedName name="OSRRefP22_15x_0" localSheetId="57">'315'!$P$96:$P$99</definedName>
    <definedName name="OSRRefP22_15x_0" localSheetId="66">'325'!$P$83</definedName>
    <definedName name="OSRRefP22_15x_0" localSheetId="58">'326'!$P$81</definedName>
    <definedName name="OSRRefP22_15x_0" localSheetId="56">'331'!$P$94:$P$96</definedName>
    <definedName name="OSRRefP22_15x_0" localSheetId="54">'333'!$P$97:$P$99</definedName>
    <definedName name="OSRRefP22_15x_0" localSheetId="71">'405'!$P$87</definedName>
    <definedName name="OSRRefP22_15x_0" localSheetId="73">'411'!$P$75</definedName>
    <definedName name="OSRRefP22_15x_0" localSheetId="77">'415'!$P$87:$P$88</definedName>
    <definedName name="OSRRefP22_15x_0" localSheetId="78">'418'!$P$85</definedName>
    <definedName name="OSRRefP22_15x_0" localSheetId="84">'433'!$P$87</definedName>
    <definedName name="OSRRefP22_15x_0" localSheetId="86">'444'!$P$87</definedName>
    <definedName name="OSRRefP22_15x_0" localSheetId="87">'450'!$P$86</definedName>
    <definedName name="OSRRefP22_15x_0" localSheetId="70">'491'!$P$85</definedName>
    <definedName name="OSRRefP22_15x_0" localSheetId="82">'492'!$P$82:$P$90</definedName>
    <definedName name="OSRRefP22_15x_0" localSheetId="39">'Div 2'!$P$77:$P$78</definedName>
    <definedName name="OSRRefP22_15x_0" localSheetId="47">'Div 3'!$P$112</definedName>
    <definedName name="OSRRefP22_15x_0" localSheetId="68">'Div 4'!$P$84</definedName>
    <definedName name="OSRRefP22_15x_0" localSheetId="2">Summary!$P$121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3">'310'!$P$91</definedName>
    <definedName name="OSRRefP22_16x_0" localSheetId="69">'310 &amp; 491'!$P$89:$P$98</definedName>
    <definedName name="OSRRefP22_16x_0" localSheetId="57">'315'!$P$101</definedName>
    <definedName name="OSRRefP22_16x_0" localSheetId="66">'325'!$P$85</definedName>
    <definedName name="OSRRefP22_16x_0" localSheetId="58">'326'!$P$83:$P$84</definedName>
    <definedName name="OSRRefP22_16x_0" localSheetId="56">'331'!$P$98:$P$99</definedName>
    <definedName name="OSRRefP22_16x_0" localSheetId="54">'333'!$P$101:$P$103</definedName>
    <definedName name="OSRRefP22_16x_0" localSheetId="71">'405'!$P$89</definedName>
    <definedName name="OSRRefP22_16x_0" localSheetId="77">'415'!$P$90</definedName>
    <definedName name="OSRRefP22_16x_0" localSheetId="86">'444'!$P$89</definedName>
    <definedName name="OSRRefP22_16x_0" localSheetId="87">'450'!$P$88</definedName>
    <definedName name="OSRRefP22_16x_0" localSheetId="70">'491'!$P$87:$P$96</definedName>
    <definedName name="OSRRefP22_16x_0" localSheetId="82">'492'!$P$92:$P$93</definedName>
    <definedName name="OSRRefP22_16x_0" localSheetId="39">'Div 2'!$P$80:$P$85</definedName>
    <definedName name="OSRRefP22_16x_0" localSheetId="47">'Div 3'!$P$114</definedName>
    <definedName name="OSRRefP22_16x_0" localSheetId="68">'Div 4'!$P$86:$P$90</definedName>
    <definedName name="OSRRefP22_16x_0" localSheetId="2">Summary!$P$123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63">'310'!$P$93</definedName>
    <definedName name="OSRRefP22_17x_0" localSheetId="69">'310 &amp; 491'!$P$100:$P$101</definedName>
    <definedName name="OSRRefP22_17x_0" localSheetId="57">'315'!$P$103</definedName>
    <definedName name="OSRRefP22_17x_0" localSheetId="58">'326'!$P$86</definedName>
    <definedName name="OSRRefP22_17x_0" localSheetId="56">'331'!$P$101:$P$102</definedName>
    <definedName name="OSRRefP22_17x_0" localSheetId="54">'333'!$P$105:$P$106</definedName>
    <definedName name="OSRRefP22_17x_0" localSheetId="77">'415'!$P$92</definedName>
    <definedName name="OSRRefP22_17x_0" localSheetId="70">'491'!$P$98:$P$99</definedName>
    <definedName name="OSRRefP22_17x_0" localSheetId="82">'492'!$P$95</definedName>
    <definedName name="OSRRefP22_17x_0" localSheetId="39">'Div 2'!$P$87:$P$88</definedName>
    <definedName name="OSRRefP22_17x_0" localSheetId="47">'Div 3'!$P$116:$P$119</definedName>
    <definedName name="OSRRefP22_17x_0" localSheetId="68">'Div 4'!$P$92:$P$93</definedName>
    <definedName name="OSRRefP22_17x_0" localSheetId="2">Summary!$P$125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69">'310 &amp; 491'!$P$103</definedName>
    <definedName name="OSRRefP22_18x_0" localSheetId="57">'315'!$P$105</definedName>
    <definedName name="OSRRefP22_18x_0" localSheetId="56">'331'!$P$104:$P$108</definedName>
    <definedName name="OSRRefP22_18x_0" localSheetId="54">'333'!$P$108:$P$113</definedName>
    <definedName name="OSRRefP22_18x_0" localSheetId="70">'491'!$P$101</definedName>
    <definedName name="OSRRefP22_18x_0" localSheetId="82">'492'!$P$97:$P$98</definedName>
    <definedName name="OSRRefP22_18x_0" localSheetId="39">'Div 2'!$P$90</definedName>
    <definedName name="OSRRefP22_18x_0" localSheetId="47">'Div 3'!$P$121:$P$124</definedName>
    <definedName name="OSRRefP22_18x_0" localSheetId="68">'Div 4'!$P$95:$P$104</definedName>
    <definedName name="OSRRefP22_18x_0" localSheetId="2">Summary!$P$127:$P$130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69">'310 &amp; 491'!$P$105:$P$106</definedName>
    <definedName name="OSRRefP22_19x_0" localSheetId="56">'331'!$P$110</definedName>
    <definedName name="OSRRefP22_19x_0" localSheetId="54">'333'!$P$115</definedName>
    <definedName name="OSRRefP22_19x_0" localSheetId="70">'491'!$P$103:$P$104</definedName>
    <definedName name="OSRRefP22_19x_0" localSheetId="39">'Div 2'!$P$92:$P$93</definedName>
    <definedName name="OSRRefP22_19x_0" localSheetId="47">'Div 3'!$P$126:$P$129</definedName>
    <definedName name="OSRRefP22_19x_0" localSheetId="68">'Div 4'!$P$106:$P$107</definedName>
    <definedName name="OSRRefP22_19x_0" localSheetId="2">Summary!$P$132:$P$135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5">'307'!$P$44:$P$53</definedName>
    <definedName name="OSRRefP22_1x_0" localSheetId="51">'308'!$P$46:$P$55</definedName>
    <definedName name="OSRRefP22_1x_0" localSheetId="64">'309'!$P$29:$P$30</definedName>
    <definedName name="OSRRefP22_1x_0" localSheetId="63">'310'!$P$40:$P$49</definedName>
    <definedName name="OSRRefP22_1x_0" localSheetId="69">'310 &amp; 491'!$P$40:$P$49</definedName>
    <definedName name="OSRRefP22_1x_0" localSheetId="52">'311'!$P$46:$P$55</definedName>
    <definedName name="OSRRefP22_1x_0" localSheetId="57">'315'!$P$54:$P$63</definedName>
    <definedName name="OSRRefP22_1x_0" localSheetId="60">'316'!$P$37:$P$46</definedName>
    <definedName name="OSRRefP22_1x_0" localSheetId="62">'317'!$P$46:$P$55</definedName>
    <definedName name="OSRRefP22_1x_0" localSheetId="65">'321'!$P$35:$P$44</definedName>
    <definedName name="OSRRefP22_1x_0" localSheetId="66">'325'!$P$35:$P$44</definedName>
    <definedName name="OSRRefP22_1x_0" localSheetId="58">'326'!$P$38:$P$47</definedName>
    <definedName name="OSRRefP22_1x_0" localSheetId="67">'327'!$P$28</definedName>
    <definedName name="OSRRefP22_1x_0" localSheetId="56">'331'!$P$54:$P$63</definedName>
    <definedName name="OSRRefP22_1x_0" localSheetId="59">'332'!$P$37:$P$46</definedName>
    <definedName name="OSRRefP22_1x_0" localSheetId="54">'333'!$P$56:$P$65</definedName>
    <definedName name="OSRRefP22_1x_0" localSheetId="71">'405'!$P$37:$P$46</definedName>
    <definedName name="OSRRefP22_1x_0" localSheetId="72">'406'!$P$22</definedName>
    <definedName name="OSRRefP22_1x_0" localSheetId="73">'411'!$P$30:$P$39</definedName>
    <definedName name="OSRRefP22_1x_0" localSheetId="74">'412'!$P$22</definedName>
    <definedName name="OSRRefP22_1x_0" localSheetId="75">'413'!$P$22</definedName>
    <definedName name="OSRRefP22_1x_0" localSheetId="76">'414'!$P$22</definedName>
    <definedName name="OSRRefP22_1x_0" localSheetId="77">'415'!$P$38:$P$47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'425'!$P$24</definedName>
    <definedName name="OSRRefP22_1x_0" localSheetId="83">'430'!$P$30:$P$39</definedName>
    <definedName name="OSRRefP22_1x_0" localSheetId="84">'433'!$P$38:$P$47</definedName>
    <definedName name="OSRRefP22_1x_0" localSheetId="85">'435'!$P$26</definedName>
    <definedName name="OSRRefP22_1x_0" localSheetId="86">'444'!$P$38:$P$47</definedName>
    <definedName name="OSRRefP22_1x_0" localSheetId="87">'450'!$P$38:$P$47</definedName>
    <definedName name="OSRRefP22_1x_0" localSheetId="70">'491'!$P$39:$P$48</definedName>
    <definedName name="OSRRefP22_1x_0" localSheetId="82">'492'!$P$40:$P$49</definedName>
    <definedName name="OSRRefP22_1x_0" localSheetId="89">'501'!$P$32:$P$41</definedName>
    <definedName name="OSRRefP22_1x_0" localSheetId="39">'Div 2'!$P$32:$P$41</definedName>
    <definedName name="OSRRefP22_1x_0" localSheetId="47">'Div 3'!$P$71:$P$80</definedName>
    <definedName name="OSRRefP22_1x_0" localSheetId="68">'Div 4'!$P$42:$P$51</definedName>
    <definedName name="OSRRefP22_1x_0" localSheetId="88">'Div 5'!$P$32:$P$41</definedName>
    <definedName name="OSRRefP22_1x_0" localSheetId="61">'Div 6'!$P$46:$P$55</definedName>
    <definedName name="OSRRefP22_1x_0" localSheetId="2">Summary!$P$79:$P$88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69">'310 &amp; 491'!$P$108</definedName>
    <definedName name="OSRRefP22_20x_0" localSheetId="56">'331'!$P$112</definedName>
    <definedName name="OSRRefP22_20x_0" localSheetId="54">'333'!$P$117</definedName>
    <definedName name="OSRRefP22_20x_0" localSheetId="70">'491'!$P$106</definedName>
    <definedName name="OSRRefP22_20x_0" localSheetId="47">'Div 3'!$P$131:$P$132</definedName>
    <definedName name="OSRRefP22_20x_0" localSheetId="68">'Div 4'!$P$109</definedName>
    <definedName name="OSRRefP22_20x_0" localSheetId="2">Summary!$P$137:$P$141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'301'!$P$92:$P$93</definedName>
    <definedName name="OSRRefP22_21x_0" localSheetId="56">'331'!$P$114:$P$115</definedName>
    <definedName name="OSRRefP22_21x_0" localSheetId="54">'333'!$P$119:$P$120</definedName>
    <definedName name="OSRRefP22_21x_0" localSheetId="47">'Div 3'!$P$134:$P$140</definedName>
    <definedName name="OSRRefP22_21x_0" localSheetId="68">'Div 4'!$P$111:$P$112</definedName>
    <definedName name="OSRRefP22_21x_0" localSheetId="2">Summary!$P$143:$P$144</definedName>
    <definedName name="OSRRefP22_22x_0" localSheetId="48">'300'!$P$136</definedName>
    <definedName name="OSRRefP22_22x_0" localSheetId="49">'300 &amp; 317'!$P$142</definedName>
    <definedName name="OSRRefP22_22x_0" localSheetId="50">'301'!$P$95</definedName>
    <definedName name="OSRRefP22_22x_0" localSheetId="56">'331'!$P$117</definedName>
    <definedName name="OSRRefP22_22x_0" localSheetId="54">'333'!$P$122</definedName>
    <definedName name="OSRRefP22_22x_0" localSheetId="47">'Div 3'!$P$142:$P$143</definedName>
    <definedName name="OSRRefP22_22x_0" localSheetId="68">'Div 4'!$P$114</definedName>
    <definedName name="OSRRefP22_22x_0" localSheetId="2">Summary!$P$146:$P$155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3'!$P$145</definedName>
    <definedName name="OSRRefP22_23x_0" localSheetId="2">Summary!$P$157:$P$158</definedName>
    <definedName name="OSRRefP22_24x_0" localSheetId="48">'300'!$P$142</definedName>
    <definedName name="OSRRefP22_24x_0" localSheetId="49">'300 &amp; 317'!$P$148</definedName>
    <definedName name="OSRRefP22_24x_0" localSheetId="47">'Div 3'!$P$147:$P$149</definedName>
    <definedName name="OSRRefP22_24x_0" localSheetId="2">Summary!$P$160</definedName>
    <definedName name="OSRRefP22_25x_0" localSheetId="47">'Div 3'!$P$151</definedName>
    <definedName name="OSRRefP22_25x_0" localSheetId="2">Summary!$P$162:$P$164</definedName>
    <definedName name="OSRRefP22_26x_0" localSheetId="2">Summary!$P$166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5">'307'!$P$55</definedName>
    <definedName name="OSRRefP22_2x_0" localSheetId="51">'308'!$P$57</definedName>
    <definedName name="OSRRefP22_2x_0" localSheetId="64">'309'!$P$32</definedName>
    <definedName name="OSRRefP22_2x_0" localSheetId="63">'310'!$P$51</definedName>
    <definedName name="OSRRefP22_2x_0" localSheetId="69">'310 &amp; 491'!$P$51</definedName>
    <definedName name="OSRRefP22_2x_0" localSheetId="52">'311'!$P$57</definedName>
    <definedName name="OSRRefP22_2x_0" localSheetId="57">'315'!$P$65</definedName>
    <definedName name="OSRRefP22_2x_0" localSheetId="60">'316'!$P$48</definedName>
    <definedName name="OSRRefP22_2x_0" localSheetId="62">'317'!$P$57</definedName>
    <definedName name="OSRRefP22_2x_0" localSheetId="65">'321'!$P$46</definedName>
    <definedName name="OSRRefP22_2x_0" localSheetId="66">'325'!$P$46</definedName>
    <definedName name="OSRRefP22_2x_0" localSheetId="58">'326'!$P$49</definedName>
    <definedName name="OSRRefP22_2x_0" localSheetId="56">'331'!$P$65</definedName>
    <definedName name="OSRRefP22_2x_0" localSheetId="59">'332'!$P$48</definedName>
    <definedName name="OSRRefP22_2x_0" localSheetId="54">'333'!$P$67</definedName>
    <definedName name="OSRRefP22_2x_0" localSheetId="71">'405'!$P$48</definedName>
    <definedName name="OSRRefP22_2x_0" localSheetId="73">'411'!$P$41</definedName>
    <definedName name="OSRRefP22_2x_0" localSheetId="74">'412'!$P$24</definedName>
    <definedName name="OSRRefP22_2x_0" localSheetId="75">'413'!$P$24</definedName>
    <definedName name="OSRRefP22_2x_0" localSheetId="76">'414'!$P$24</definedName>
    <definedName name="OSRRefP22_2x_0" localSheetId="77">'415'!$P$49</definedName>
    <definedName name="OSRRefP22_2x_0" localSheetId="78">'418'!$P$45</definedName>
    <definedName name="OSRRefP22_2x_0" localSheetId="79">'423'!$P$40</definedName>
    <definedName name="OSRRefP22_2x_0" localSheetId="80">'424'!$P$24</definedName>
    <definedName name="OSRRefP22_2x_0" localSheetId="81">'425'!$P$26</definedName>
    <definedName name="OSRRefP22_2x_0" localSheetId="83">'430'!$P$41</definedName>
    <definedName name="OSRRefP22_2x_0" localSheetId="84">'433'!$P$49</definedName>
    <definedName name="OSRRefP22_2x_0" localSheetId="85">'435'!$P$28</definedName>
    <definedName name="OSRRefP22_2x_0" localSheetId="86">'444'!$P$49</definedName>
    <definedName name="OSRRefP22_2x_0" localSheetId="87">'450'!$P$49</definedName>
    <definedName name="OSRRefP22_2x_0" localSheetId="70">'491'!$P$50</definedName>
    <definedName name="OSRRefP22_2x_0" localSheetId="82">'492'!$P$51</definedName>
    <definedName name="OSRRefP22_2x_0" localSheetId="89">'501'!$P$43</definedName>
    <definedName name="OSRRefP22_2x_0" localSheetId="39">'Div 2'!$P$43</definedName>
    <definedName name="OSRRefP22_2x_0" localSheetId="47">'Div 3'!$P$82</definedName>
    <definedName name="OSRRefP22_2x_0" localSheetId="68">'Div 4'!$P$53</definedName>
    <definedName name="OSRRefP22_2x_0" localSheetId="88">'Div 5'!$P$43</definedName>
    <definedName name="OSRRefP22_2x_0" localSheetId="61">'Div 6'!$P$57</definedName>
    <definedName name="OSRRefP22_2x_0" localSheetId="2">Summary!$P$90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5">'307'!$P$57</definedName>
    <definedName name="OSRRefP22_3x_0" localSheetId="51">'308'!$P$59</definedName>
    <definedName name="OSRRefP22_3x_0" localSheetId="64">'309'!$P$34</definedName>
    <definedName name="OSRRefP22_3x_0" localSheetId="63">'310'!$P$53</definedName>
    <definedName name="OSRRefP22_3x_0" localSheetId="69">'310 &amp; 491'!$P$53</definedName>
    <definedName name="OSRRefP22_3x_0" localSheetId="52">'311'!$P$59</definedName>
    <definedName name="OSRRefP22_3x_0" localSheetId="57">'315'!$P$67</definedName>
    <definedName name="OSRRefP22_3x_0" localSheetId="60">'316'!$P$50</definedName>
    <definedName name="OSRRefP22_3x_0" localSheetId="62">'317'!$P$59</definedName>
    <definedName name="OSRRefP22_3x_0" localSheetId="65">'321'!$P$48</definedName>
    <definedName name="OSRRefP22_3x_0" localSheetId="66">'325'!$P$48</definedName>
    <definedName name="OSRRefP22_3x_0" localSheetId="58">'326'!$P$51</definedName>
    <definedName name="OSRRefP22_3x_0" localSheetId="56">'331'!$P$67</definedName>
    <definedName name="OSRRefP22_3x_0" localSheetId="59">'332'!$P$50</definedName>
    <definedName name="OSRRefP22_3x_0" localSheetId="54">'333'!$P$69</definedName>
    <definedName name="OSRRefP22_3x_0" localSheetId="71">'405'!$P$50</definedName>
    <definedName name="OSRRefP22_3x_0" localSheetId="73">'411'!$P$43:$P$44</definedName>
    <definedName name="OSRRefP22_3x_0" localSheetId="74">'412'!$P$26</definedName>
    <definedName name="OSRRefP22_3x_0" localSheetId="77">'415'!$P$51</definedName>
    <definedName name="OSRRefP22_3x_0" localSheetId="78">'418'!$P$47</definedName>
    <definedName name="OSRRefP22_3x_0" localSheetId="79">'423'!$P$42</definedName>
    <definedName name="OSRRefP22_3x_0" localSheetId="81">'425'!$P$28</definedName>
    <definedName name="OSRRefP22_3x_0" localSheetId="83">'430'!$P$43</definedName>
    <definedName name="OSRRefP22_3x_0" localSheetId="84">'433'!$P$51</definedName>
    <definedName name="OSRRefP22_3x_0" localSheetId="85">'435'!$P$30</definedName>
    <definedName name="OSRRefP22_3x_0" localSheetId="86">'444'!$P$51</definedName>
    <definedName name="OSRRefP22_3x_0" localSheetId="87">'450'!$P$51</definedName>
    <definedName name="OSRRefP22_3x_0" localSheetId="70">'491'!$P$52</definedName>
    <definedName name="OSRRefP22_3x_0" localSheetId="82">'492'!$P$53</definedName>
    <definedName name="OSRRefP22_3x_0" localSheetId="89">'501'!$P$45</definedName>
    <definedName name="OSRRefP22_3x_0" localSheetId="39">'Div 2'!$P$45</definedName>
    <definedName name="OSRRefP22_3x_0" localSheetId="47">'Div 3'!$P$84</definedName>
    <definedName name="OSRRefP22_3x_0" localSheetId="68">'Div 4'!$P$55</definedName>
    <definedName name="OSRRefP22_3x_0" localSheetId="88">'Div 5'!$P$45</definedName>
    <definedName name="OSRRefP22_3x_0" localSheetId="61">'Div 6'!$P$59</definedName>
    <definedName name="OSRRefP22_3x_0" localSheetId="2">Summary!$P$92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'205'!$P$45:$P$47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5">'307'!$P$59</definedName>
    <definedName name="OSRRefP22_4x_0" localSheetId="51">'308'!$P$61</definedName>
    <definedName name="OSRRefP22_4x_0" localSheetId="64">'309'!$P$36</definedName>
    <definedName name="OSRRefP22_4x_0" localSheetId="63">'310'!$P$55</definedName>
    <definedName name="OSRRefP22_4x_0" localSheetId="69">'310 &amp; 491'!$P$55</definedName>
    <definedName name="OSRRefP22_4x_0" localSheetId="52">'311'!$P$61</definedName>
    <definedName name="OSRRefP22_4x_0" localSheetId="57">'315'!$P$69</definedName>
    <definedName name="OSRRefP22_4x_0" localSheetId="60">'316'!$P$52</definedName>
    <definedName name="OSRRefP22_4x_0" localSheetId="62">'317'!$P$61</definedName>
    <definedName name="OSRRefP22_4x_0" localSheetId="65">'321'!$P$50</definedName>
    <definedName name="OSRRefP22_4x_0" localSheetId="66">'325'!$P$50</definedName>
    <definedName name="OSRRefP22_4x_0" localSheetId="58">'326'!$P$53</definedName>
    <definedName name="OSRRefP22_4x_0" localSheetId="56">'331'!$P$69</definedName>
    <definedName name="OSRRefP22_4x_0" localSheetId="59">'332'!$P$52</definedName>
    <definedName name="OSRRefP22_4x_0" localSheetId="54">'333'!$P$71</definedName>
    <definedName name="OSRRefP22_4x_0" localSheetId="71">'405'!$P$52</definedName>
    <definedName name="OSRRefP22_4x_0" localSheetId="73">'411'!$P$46</definedName>
    <definedName name="OSRRefP22_4x_0" localSheetId="74">'412'!$P$28</definedName>
    <definedName name="OSRRefP22_4x_0" localSheetId="77">'415'!$P$53</definedName>
    <definedName name="OSRRefP22_4x_0" localSheetId="78">'418'!$P$49:$P$50</definedName>
    <definedName name="OSRRefP22_4x_0" localSheetId="79">'423'!$P$44</definedName>
    <definedName name="OSRRefP22_4x_0" localSheetId="81">'425'!$P$30</definedName>
    <definedName name="OSRRefP22_4x_0" localSheetId="83">'430'!$P$45</definedName>
    <definedName name="OSRRefP22_4x_0" localSheetId="84">'433'!$P$53</definedName>
    <definedName name="OSRRefP22_4x_0" localSheetId="85">'435'!$P$32</definedName>
    <definedName name="OSRRefP22_4x_0" localSheetId="86">'444'!$P$53</definedName>
    <definedName name="OSRRefP22_4x_0" localSheetId="87">'450'!$P$53</definedName>
    <definedName name="OSRRefP22_4x_0" localSheetId="70">'491'!$P$54</definedName>
    <definedName name="OSRRefP22_4x_0" localSheetId="82">'492'!$P$55</definedName>
    <definedName name="OSRRefP22_4x_0" localSheetId="89">'501'!$P$47</definedName>
    <definedName name="OSRRefP22_4x_0" localSheetId="39">'Div 2'!$P$47</definedName>
    <definedName name="OSRRefP22_4x_0" localSheetId="47">'Div 3'!$P$86</definedName>
    <definedName name="OSRRefP22_4x_0" localSheetId="68">'Div 4'!$P$57</definedName>
    <definedName name="OSRRefP22_4x_0" localSheetId="88">'Div 5'!$P$47</definedName>
    <definedName name="OSRRefP22_4x_0" localSheetId="61">'Div 6'!$P$61</definedName>
    <definedName name="OSRRefP22_4x_0" localSheetId="2">Summary!$P$94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'205'!$P$49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5">'307'!$P$61:$P$62</definedName>
    <definedName name="OSRRefP22_5x_0" localSheetId="51">'308'!$P$63</definedName>
    <definedName name="OSRRefP22_5x_0" localSheetId="64">'309'!$P$38</definedName>
    <definedName name="OSRRefP22_5x_0" localSheetId="63">'310'!$P$57:$P$58</definedName>
    <definedName name="OSRRefP22_5x_0" localSheetId="69">'310 &amp; 491'!$P$57:$P$58</definedName>
    <definedName name="OSRRefP22_5x_0" localSheetId="52">'311'!$P$63</definedName>
    <definedName name="OSRRefP22_5x_0" localSheetId="57">'315'!$P$71</definedName>
    <definedName name="OSRRefP22_5x_0" localSheetId="60">'316'!$P$54:$P$55</definedName>
    <definedName name="OSRRefP22_5x_0" localSheetId="62">'317'!$P$63</definedName>
    <definedName name="OSRRefP22_5x_0" localSheetId="65">'321'!$P$52</definedName>
    <definedName name="OSRRefP22_5x_0" localSheetId="66">'325'!$P$52:$P$53</definedName>
    <definedName name="OSRRefP22_5x_0" localSheetId="58">'326'!$P$55</definedName>
    <definedName name="OSRRefP22_5x_0" localSheetId="56">'331'!$P$71</definedName>
    <definedName name="OSRRefP22_5x_0" localSheetId="59">'332'!$P$54:$P$55</definedName>
    <definedName name="OSRRefP22_5x_0" localSheetId="54">'333'!$P$73:$P$74</definedName>
    <definedName name="OSRRefP22_5x_0" localSheetId="71">'405'!$P$54:$P$55</definedName>
    <definedName name="OSRRefP22_5x_0" localSheetId="73">'411'!$P$48</definedName>
    <definedName name="OSRRefP22_5x_0" localSheetId="77">'415'!$P$55:$P$56</definedName>
    <definedName name="OSRRefP22_5x_0" localSheetId="78">'418'!$P$52</definedName>
    <definedName name="OSRRefP22_5x_0" localSheetId="79">'423'!$P$46</definedName>
    <definedName name="OSRRefP22_5x_0" localSheetId="81">'425'!$P$32</definedName>
    <definedName name="OSRRefP22_5x_0" localSheetId="83">'430'!$P$47:$P$48</definedName>
    <definedName name="OSRRefP22_5x_0" localSheetId="84">'433'!$P$55</definedName>
    <definedName name="OSRRefP22_5x_0" localSheetId="86">'444'!$P$55</definedName>
    <definedName name="OSRRefP22_5x_0" localSheetId="87">'450'!$P$55</definedName>
    <definedName name="OSRRefP22_5x_0" localSheetId="70">'491'!$P$56:$P$57</definedName>
    <definedName name="OSRRefP22_5x_0" localSheetId="82">'492'!$P$57</definedName>
    <definedName name="OSRRefP22_5x_0" localSheetId="89">'501'!$P$49:$P$50</definedName>
    <definedName name="OSRRefP22_5x_0" localSheetId="39">'Div 2'!$P$49:$P$50</definedName>
    <definedName name="OSRRefP22_5x_0" localSheetId="47">'Div 3'!$P$88:$P$89</definedName>
    <definedName name="OSRRefP22_5x_0" localSheetId="68">'Div 4'!$P$59:$P$60</definedName>
    <definedName name="OSRRefP22_5x_0" localSheetId="88">'Div 5'!$P$49:$P$50</definedName>
    <definedName name="OSRRefP22_5x_0" localSheetId="61">'Div 6'!$P$63</definedName>
    <definedName name="OSRRefP22_5x_0" localSheetId="2">Summary!$P$96:$P$97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'204'!$P$53:$P$54</definedName>
    <definedName name="OSRRefP22_6x_0" localSheetId="45">'205'!$P$51:$P$53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5">'307'!$P$64</definedName>
    <definedName name="OSRRefP22_6x_0" localSheetId="51">'308'!$P$65:$P$66</definedName>
    <definedName name="OSRRefP22_6x_0" localSheetId="64">'309'!$P$40</definedName>
    <definedName name="OSRRefP22_6x_0" localSheetId="63">'310'!$P$60</definedName>
    <definedName name="OSRRefP22_6x_0" localSheetId="69">'310 &amp; 491'!$P$60</definedName>
    <definedName name="OSRRefP22_6x_0" localSheetId="52">'311'!$P$65:$P$66</definedName>
    <definedName name="OSRRefP22_6x_0" localSheetId="57">'315'!$P$73</definedName>
    <definedName name="OSRRefP22_6x_0" localSheetId="60">'316'!$P$57</definedName>
    <definedName name="OSRRefP22_6x_0" localSheetId="62">'317'!$P$65</definedName>
    <definedName name="OSRRefP22_6x_0" localSheetId="65">'321'!$P$54</definedName>
    <definedName name="OSRRefP22_6x_0" localSheetId="66">'325'!$P$55</definedName>
    <definedName name="OSRRefP22_6x_0" localSheetId="58">'326'!$P$57:$P$58</definedName>
    <definedName name="OSRRefP22_6x_0" localSheetId="56">'331'!$P$73</definedName>
    <definedName name="OSRRefP22_6x_0" localSheetId="59">'332'!$P$57</definedName>
    <definedName name="OSRRefP22_6x_0" localSheetId="54">'333'!$P$76</definedName>
    <definedName name="OSRRefP22_6x_0" localSheetId="71">'405'!$P$57</definedName>
    <definedName name="OSRRefP22_6x_0" localSheetId="73">'411'!$P$50</definedName>
    <definedName name="OSRRefP22_6x_0" localSheetId="77">'415'!$P$58</definedName>
    <definedName name="OSRRefP22_6x_0" localSheetId="78">'418'!$P$54</definedName>
    <definedName name="OSRRefP22_6x_0" localSheetId="83">'430'!$P$50:$P$51</definedName>
    <definedName name="OSRRefP22_6x_0" localSheetId="84">'433'!$P$57</definedName>
    <definedName name="OSRRefP22_6x_0" localSheetId="86">'444'!$P$57</definedName>
    <definedName name="OSRRefP22_6x_0" localSheetId="87">'450'!$P$57</definedName>
    <definedName name="OSRRefP22_6x_0" localSheetId="70">'491'!$P$59</definedName>
    <definedName name="OSRRefP22_6x_0" localSheetId="82">'492'!$P$59</definedName>
    <definedName name="OSRRefP22_6x_0" localSheetId="89">'501'!$P$52</definedName>
    <definedName name="OSRRefP22_6x_0" localSheetId="39">'Div 2'!$P$52</definedName>
    <definedName name="OSRRefP22_6x_0" localSheetId="47">'Div 3'!$P$91:$P$92</definedName>
    <definedName name="OSRRefP22_6x_0" localSheetId="68">'Div 4'!$P$62</definedName>
    <definedName name="OSRRefP22_6x_0" localSheetId="88">'Div 5'!$P$52</definedName>
    <definedName name="OSRRefP22_6x_0" localSheetId="61">'Div 6'!$P$65</definedName>
    <definedName name="OSRRefP22_6x_0" localSheetId="2">Summary!$P$99:$P$100</definedName>
    <definedName name="OSRRefP22_7x_0" localSheetId="41">'201'!$P$51</definedName>
    <definedName name="OSRRefP22_7x_0" localSheetId="42">'202'!$P$51:$P$53</definedName>
    <definedName name="OSRRefP22_7x_0" localSheetId="43">'203'!$P$52</definedName>
    <definedName name="OSRRefP22_7x_0" localSheetId="44">'204'!$P$56</definedName>
    <definedName name="OSRRefP22_7x_0" localSheetId="45">'205'!$P$55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5">'307'!$P$66</definedName>
    <definedName name="OSRRefP22_7x_0" localSheetId="51">'308'!$P$68</definedName>
    <definedName name="OSRRefP22_7x_0" localSheetId="64">'309'!$P$42</definedName>
    <definedName name="OSRRefP22_7x_0" localSheetId="63">'310'!$P$62</definedName>
    <definedName name="OSRRefP22_7x_0" localSheetId="69">'310 &amp; 491'!$P$62</definedName>
    <definedName name="OSRRefP22_7x_0" localSheetId="52">'311'!$P$68</definedName>
    <definedName name="OSRRefP22_7x_0" localSheetId="57">'315'!$P$75</definedName>
    <definedName name="OSRRefP22_7x_0" localSheetId="60">'316'!$P$59:$P$61</definedName>
    <definedName name="OSRRefP22_7x_0" localSheetId="62">'317'!$P$67</definedName>
    <definedName name="OSRRefP22_7x_0" localSheetId="65">'321'!$P$56:$P$57</definedName>
    <definedName name="OSRRefP22_7x_0" localSheetId="66">'325'!$P$57</definedName>
    <definedName name="OSRRefP22_7x_0" localSheetId="58">'326'!$P$60</definedName>
    <definedName name="OSRRefP22_7x_0" localSheetId="56">'331'!$P$75</definedName>
    <definedName name="OSRRefP22_7x_0" localSheetId="59">'332'!$P$59:$P$61</definedName>
    <definedName name="OSRRefP22_7x_0" localSheetId="54">'333'!$P$78</definedName>
    <definedName name="OSRRefP22_7x_0" localSheetId="71">'405'!$P$59</definedName>
    <definedName name="OSRRefP22_7x_0" localSheetId="73">'411'!$P$52</definedName>
    <definedName name="OSRRefP22_7x_0" localSheetId="77">'415'!$P$60</definedName>
    <definedName name="OSRRefP22_7x_0" localSheetId="78">'418'!$P$56:$P$57</definedName>
    <definedName name="OSRRefP22_7x_0" localSheetId="83">'430'!$P$53</definedName>
    <definedName name="OSRRefP22_7x_0" localSheetId="84">'433'!$P$59</definedName>
    <definedName name="OSRRefP22_7x_0" localSheetId="86">'444'!$P$59</definedName>
    <definedName name="OSRRefP22_7x_0" localSheetId="87">'450'!$P$59</definedName>
    <definedName name="OSRRefP22_7x_0" localSheetId="70">'491'!$P$61</definedName>
    <definedName name="OSRRefP22_7x_0" localSheetId="82">'492'!$P$61</definedName>
    <definedName name="OSRRefP22_7x_0" localSheetId="89">'501'!$P$54</definedName>
    <definedName name="OSRRefP22_7x_0" localSheetId="39">'Div 2'!$P$54</definedName>
    <definedName name="OSRRefP22_7x_0" localSheetId="47">'Div 3'!$P$94</definedName>
    <definedName name="OSRRefP22_7x_0" localSheetId="68">'Div 4'!$P$64</definedName>
    <definedName name="OSRRefP22_7x_0" localSheetId="88">'Div 5'!$P$54</definedName>
    <definedName name="OSRRefP22_7x_0" localSheetId="61">'Div 6'!$P$67</definedName>
    <definedName name="OSRRefP22_7x_0" localSheetId="2">Summary!$P$102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4">'204'!$P$58:$P$59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5">'307'!$P$68</definedName>
    <definedName name="OSRRefP22_8x_0" localSheetId="51">'308'!$P$70</definedName>
    <definedName name="OSRRefP22_8x_0" localSheetId="64">'309'!$P$44:$P$45</definedName>
    <definedName name="OSRRefP22_8x_0" localSheetId="63">'310'!$P$64</definedName>
    <definedName name="OSRRefP22_8x_0" localSheetId="69">'310 &amp; 491'!$P$64:$P$65</definedName>
    <definedName name="OSRRefP22_8x_0" localSheetId="52">'311'!$P$70</definedName>
    <definedName name="OSRRefP22_8x_0" localSheetId="57">'315'!$P$77:$P$78</definedName>
    <definedName name="OSRRefP22_8x_0" localSheetId="60">'316'!$P$63</definedName>
    <definedName name="OSRRefP22_8x_0" localSheetId="62">'317'!$P$69</definedName>
    <definedName name="OSRRefP22_8x_0" localSheetId="65">'321'!$P$59:$P$60</definedName>
    <definedName name="OSRRefP22_8x_0" localSheetId="66">'325'!$P$59</definedName>
    <definedName name="OSRRefP22_8x_0" localSheetId="58">'326'!$P$62</definedName>
    <definedName name="OSRRefP22_8x_0" localSheetId="56">'331'!$P$77:$P$78</definedName>
    <definedName name="OSRRefP22_8x_0" localSheetId="59">'332'!$P$63</definedName>
    <definedName name="OSRRefP22_8x_0" localSheetId="54">'333'!$P$80:$P$81</definedName>
    <definedName name="OSRRefP22_8x_0" localSheetId="71">'405'!$P$61</definedName>
    <definedName name="OSRRefP22_8x_0" localSheetId="73">'411'!$P$54:$P$57</definedName>
    <definedName name="OSRRefP22_8x_0" localSheetId="77">'415'!$P$62</definedName>
    <definedName name="OSRRefP22_8x_0" localSheetId="78">'418'!$P$59:$P$60</definedName>
    <definedName name="OSRRefP22_8x_0" localSheetId="83">'430'!$P$55</definedName>
    <definedName name="OSRRefP22_8x_0" localSheetId="84">'433'!$P$61</definedName>
    <definedName name="OSRRefP22_8x_0" localSheetId="86">'444'!$P$61</definedName>
    <definedName name="OSRRefP22_8x_0" localSheetId="87">'450'!$P$61</definedName>
    <definedName name="OSRRefP22_8x_0" localSheetId="70">'491'!$P$63:$P$64</definedName>
    <definedName name="OSRRefP22_8x_0" localSheetId="82">'492'!$P$63</definedName>
    <definedName name="OSRRefP22_8x_0" localSheetId="89">'501'!$P$56</definedName>
    <definedName name="OSRRefP22_8x_0" localSheetId="39">'Div 2'!$P$56</definedName>
    <definedName name="OSRRefP22_8x_0" localSheetId="47">'Div 3'!$P$96</definedName>
    <definedName name="OSRRefP22_8x_0" localSheetId="68">'Div 4'!$P$66</definedName>
    <definedName name="OSRRefP22_8x_0" localSheetId="88">'Div 5'!$P$56</definedName>
    <definedName name="OSRRefP22_8x_0" localSheetId="61">'Div 6'!$P$69</definedName>
    <definedName name="OSRRefP22_8x_0" localSheetId="2">Summary!$P$104</definedName>
    <definedName name="OSRRefP22_9x_0" localSheetId="41">'201'!$P$55:$P$57</definedName>
    <definedName name="OSRRefP22_9x_0" localSheetId="42">'202'!$P$57:$P$58</definedName>
    <definedName name="OSRRefP22_9x_0" localSheetId="43">'203'!$P$58:$P$59</definedName>
    <definedName name="OSRRefP22_9x_0" localSheetId="44">'204'!$P$61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5">'307'!$P$70:$P$71</definedName>
    <definedName name="OSRRefP22_9x_0" localSheetId="51">'308'!$P$72:$P$74</definedName>
    <definedName name="OSRRefP22_9x_0" localSheetId="64">'309'!$P$47:$P$48</definedName>
    <definedName name="OSRRefP22_9x_0" localSheetId="63">'310'!$P$66</definedName>
    <definedName name="OSRRefP22_9x_0" localSheetId="69">'310 &amp; 491'!$P$67</definedName>
    <definedName name="OSRRefP22_9x_0" localSheetId="52">'311'!$P$72:$P$74</definedName>
    <definedName name="OSRRefP22_9x_0" localSheetId="57">'315'!$P$80</definedName>
    <definedName name="OSRRefP22_9x_0" localSheetId="60">'316'!$P$65</definedName>
    <definedName name="OSRRefP22_9x_0" localSheetId="62">'317'!$P$71:$P$72</definedName>
    <definedName name="OSRRefP22_9x_0" localSheetId="65">'321'!$P$62:$P$64</definedName>
    <definedName name="OSRRefP22_9x_0" localSheetId="66">'325'!$P$61</definedName>
    <definedName name="OSRRefP22_9x_0" localSheetId="58">'326'!$P$64</definedName>
    <definedName name="OSRRefP22_9x_0" localSheetId="56">'331'!$P$80:$P$81</definedName>
    <definedName name="OSRRefP22_9x_0" localSheetId="59">'332'!$P$65</definedName>
    <definedName name="OSRRefP22_9x_0" localSheetId="54">'333'!$P$83:$P$84</definedName>
    <definedName name="OSRRefP22_9x_0" localSheetId="71">'405'!$P$63:$P$64</definedName>
    <definedName name="OSRRefP22_9x_0" localSheetId="73">'411'!$P$59:$P$61</definedName>
    <definedName name="OSRRefP22_9x_0" localSheetId="77">'415'!$P$64</definedName>
    <definedName name="OSRRefP22_9x_0" localSheetId="78">'418'!$P$62:$P$65</definedName>
    <definedName name="OSRRefP22_9x_0" localSheetId="84">'433'!$P$63</definedName>
    <definedName name="OSRRefP22_9x_0" localSheetId="86">'444'!$P$63</definedName>
    <definedName name="OSRRefP22_9x_0" localSheetId="87">'450'!$P$63</definedName>
    <definedName name="OSRRefP22_9x_0" localSheetId="70">'491'!$P$66</definedName>
    <definedName name="OSRRefP22_9x_0" localSheetId="82">'492'!$P$65</definedName>
    <definedName name="OSRRefP22_9x_0" localSheetId="89">'501'!$P$58:$P$60</definedName>
    <definedName name="OSRRefP22_9x_0" localSheetId="39">'Div 2'!$P$58</definedName>
    <definedName name="OSRRefP22_9x_0" localSheetId="47">'Div 3'!$P$98</definedName>
    <definedName name="OSRRefP22_9x_0" localSheetId="68">'Div 4'!$P$68:$P$69</definedName>
    <definedName name="OSRRefP22_9x_0" localSheetId="88">'Div 5'!$P$58:$P$60</definedName>
    <definedName name="OSRRefP22_9x_0" localSheetId="61">'Div 6'!$P$71:$P$72</definedName>
    <definedName name="OSRRefP22_9x_0" localSheetId="2">Summary!$P$106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'201'!$P$20:$P$28,'201'!$P$30:$P$39,'201'!$P$41,'201'!$P$43,'201'!$P$45,'201'!$P$47,'201'!$P$49,'201'!$P$51,'201'!$P$53,'201'!$P$55:$P$57,'201'!$P$59:$P$60,'201'!$P$62,'201'!$P$64:$P$65,'201'!$P$67,'201'!$P$69,'201'!$P$71</definedName>
    <definedName name="OSRRefP22x_0" localSheetId="42">'202'!$P$20:$P$28,'202'!$P$30:$P$39,'202'!$P$41,'202'!$P$43,'202'!$P$45,'202'!$P$47,'202'!$P$49,'202'!$P$51:$P$53,'202'!$P$55,'202'!$P$57:$P$58,'202'!$P$60,'202'!$P$62,'202'!$P$64</definedName>
    <definedName name="OSRRefP22x_0" localSheetId="43">'203'!$P$20:$P$29,'203'!$P$31:$P$40,'203'!$P$42,'203'!$P$44,'203'!$P$46,'203'!$P$48,'203'!$P$50,'203'!$P$52,'203'!$P$54:$P$56,'203'!$P$58:$P$59,'203'!$P$61:$P$62,'203'!$P$64:$P$67,'203'!$P$69,'203'!$P$71,'203'!$P$73</definedName>
    <definedName name="OSRRefP22x_0" localSheetId="44">'204'!$P$20:$P$28,'204'!$P$30:$P$39,'204'!$P$41,'204'!$P$43:$P$44,'204'!$P$46,'204'!$P$48:$P$51,'204'!$P$53:$P$54,'204'!$P$56,'204'!$P$58:$P$59,'204'!$P$61,'204'!$P$63</definedName>
    <definedName name="OSRRefP22x_0" localSheetId="45">'205'!$P$20:$P$28,'205'!$P$30:$P$39,'205'!$P$41,'205'!$P$43,'205'!$P$45:$P$47,'205'!$P$49,'205'!$P$51:$P$53,'205'!$P$55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$93,'301'!$P$95</definedName>
    <definedName name="OSRRefP22x_0" localSheetId="55">'307'!$P$34:$P$42,'307'!$P$44:$P$53,'307'!$P$55,'307'!$P$57,'307'!$P$59,'307'!$P$61:$P$62,'307'!$P$64,'307'!$P$66,'307'!$P$68,'307'!$P$70:$P$71,'307'!$P$73:$P$74,'307'!$P$76,'307'!$P$78:$P$81,'307'!$P$83</definedName>
    <definedName name="OSRRefP22x_0" localSheetId="51">'308'!$P$35:$P$44,'308'!$P$46:$P$55,'308'!$P$57,'308'!$P$59,'308'!$P$61,'308'!$P$63,'308'!$P$65:$P$66,'308'!$P$68,'308'!$P$70,'308'!$P$72:$P$74,'308'!$P$76:$P$77,'308'!$P$79:$P$80,'308'!$P$82:$P$83,'308'!$P$85</definedName>
    <definedName name="OSRRefP22x_0" localSheetId="64">'309'!$P$26:$P$27,'309'!$P$29:$P$30,'309'!$P$32,'309'!$P$34,'309'!$P$36,'309'!$P$38,'309'!$P$40,'309'!$P$42,'309'!$P$44:$P$45,'309'!$P$47:$P$48,'309'!$P$50:$P$51,'309'!$P$53,'309'!$P$55</definedName>
    <definedName name="OSRRefP22x_0" localSheetId="63">'310'!$P$29:$P$38,'310'!$P$40:$P$49,'310'!$P$51,'310'!$P$53,'310'!$P$55,'310'!$P$57:$P$58,'310'!$P$60,'310'!$P$62,'310'!$P$64,'310'!$P$66,'310'!$P$68,'310'!$P$70:$P$72,'310'!$P$74:$P$75,'310'!$P$77:$P$79,'310'!$P$81:$P$86,'310'!$P$88:$P$89,'310'!$P$91,'310'!$P$93</definedName>
    <definedName name="OSRRefP22x_0" localSheetId="69">'310 &amp; 491'!$P$29:$P$38,'310 &amp; 491'!$P$40:$P$49,'310 &amp; 491'!$P$51,'310 &amp; 491'!$P$53,'310 &amp; 491'!$P$55,'310 &amp; 491'!$P$57:$P$58,'310 &amp; 491'!$P$60,'310 &amp; 491'!$P$62,'310 &amp; 491'!$P$64:$P$65,'310 &amp; 491'!$P$67,'310 &amp; 491'!$P$69,'310 &amp; 491'!$P$71,'310 &amp; 491'!$P$73:$P$76,'310 &amp; 491'!$P$78:$P$79,'310 &amp; 491'!$P$81:$P$85,'310 &amp; 491'!$P$87,'310 &amp; 491'!$P$89:$P$98,'310 &amp; 491'!$P$100:$P$101,'310 &amp; 491'!$P$103,'310 &amp; 491'!$P$105:$P$106,'310 &amp; 491'!$P$108</definedName>
    <definedName name="OSRRefP22x_0" localSheetId="52">'311'!$P$35:$P$44,'311'!$P$46:$P$55,'311'!$P$57,'311'!$P$59,'311'!$P$61,'311'!$P$63,'311'!$P$65:$P$66,'311'!$P$68,'311'!$P$70,'311'!$P$72:$P$74,'311'!$P$76:$P$77,'311'!$P$79:$P$80,'311'!$P$82:$P$83,'311'!$P$85</definedName>
    <definedName name="OSRRefP22x_0" localSheetId="57">'315'!$P$44:$P$52,'315'!$P$54:$P$63,'315'!$P$65,'315'!$P$67,'315'!$P$69,'315'!$P$71,'315'!$P$73,'315'!$P$75,'315'!$P$77:$P$78,'315'!$P$80,'315'!$P$82,'315'!$P$84,'315'!$P$86:$P$87,'315'!$P$89:$P$91,'315'!$P$93:$P$94,'315'!$P$96:$P$99,'315'!$P$101,'315'!$P$103,'315'!$P$105</definedName>
    <definedName name="OSRRefP22x_0" localSheetId="60">'316'!$P$27:$P$35,'316'!$P$37:$P$46,'316'!$P$48,'316'!$P$50,'316'!$P$52,'316'!$P$54:$P$55,'316'!$P$57,'316'!$P$59:$P$61,'316'!$P$63,'316'!$P$65,'316'!$P$67:$P$71,'316'!$P$73</definedName>
    <definedName name="OSRRefP22x_0" localSheetId="62">'317'!$P$35:$P$44,'317'!$P$46:$P$55,'317'!$P$57,'317'!$P$59,'317'!$P$61,'317'!$P$63,'317'!$P$65,'317'!$P$67,'317'!$P$69,'317'!$P$71:$P$72,'317'!$P$74</definedName>
    <definedName name="OSRRefP22x_0" localSheetId="65">'321'!$P$24:$P$33,'321'!$P$35:$P$44,'321'!$P$46,'321'!$P$48,'321'!$P$50,'321'!$P$52,'321'!$P$54,'321'!$P$56:$P$57,'321'!$P$59:$P$60,'321'!$P$62:$P$64,'321'!$P$66:$P$69,'321'!$P$71,'321'!$P$73</definedName>
    <definedName name="OSRRefP22x_0" localSheetId="66">'325'!$P$25:$P$33,'325'!$P$35:$P$44,'325'!$P$46,'325'!$P$48,'325'!$P$50,'325'!$P$52:$P$53,'325'!$P$55,'325'!$P$57,'325'!$P$59,'325'!$P$61,'325'!$P$63,'325'!$P$65:$P$67,'325'!$P$69:$P$71,'325'!$P$73:$P$78,'325'!$P$80:$P$81,'325'!$P$83,'325'!$P$85</definedName>
    <definedName name="OSRRefP22x_0" localSheetId="58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7">'327'!$P$26,'327'!$P$28</definedName>
    <definedName name="OSRRefP22x_0" localSheetId="56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,'331'!$P$114:$P$115,'331'!$P$117</definedName>
    <definedName name="OSRRefP22x_0" localSheetId="59">'332'!$P$27:$P$35,'332'!$P$37:$P$46,'332'!$P$48,'332'!$P$50,'332'!$P$52,'332'!$P$54:$P$55,'332'!$P$57,'332'!$P$59:$P$61,'332'!$P$63,'332'!$P$65,'332'!$P$67:$P$71,'332'!$P$73</definedName>
    <definedName name="OSRRefP22x_0" localSheetId="54">'333'!$P$46:$P$54,'333'!$P$56:$P$65,'333'!$P$67,'333'!$P$69,'333'!$P$71,'333'!$P$73:$P$74,'333'!$P$76,'333'!$P$78,'333'!$P$80:$P$81,'333'!$P$83:$P$84,'333'!$P$86,'333'!$P$88,'333'!$P$90,'333'!$P$92,'333'!$P$94:$P$95,'333'!$P$97:$P$99,'333'!$P$101:$P$103,'333'!$P$105:$P$106,'333'!$P$108:$P$113,'333'!$P$115,'333'!$P$117,'333'!$P$119:$P$120,'333'!$P$122</definedName>
    <definedName name="OSRRefP22x_0" localSheetId="71">'405'!$P$27:$P$35,'405'!$P$37:$P$46,'405'!$P$48,'405'!$P$50,'405'!$P$52,'405'!$P$54:$P$55,'405'!$P$57,'405'!$P$59,'405'!$P$61,'405'!$P$63:$P$64,'405'!$P$66:$P$69,'405'!$P$71,'405'!$P$73:$P$81,'405'!$P$83,'405'!$P$85,'405'!$P$87,'405'!$P$89</definedName>
    <definedName name="OSRRefP22x_0" localSheetId="72">'406'!$P$20,'406'!$P$22</definedName>
    <definedName name="OSRRefP22x_0" localSheetId="73">'411'!$P$20:$P$28,'411'!$P$30:$P$39,'411'!$P$41,'411'!$P$43:$P$44,'411'!$P$46,'411'!$P$48,'411'!$P$50,'411'!$P$52,'411'!$P$54:$P$57,'411'!$P$59:$P$61,'411'!$P$63,'411'!$P$65:$P$66,'411'!$P$68,'411'!$P$70,'411'!$P$72:$P$73,'411'!$P$75</definedName>
    <definedName name="OSRRefP22x_0" localSheetId="74">'412'!$P$20,'412'!$P$22,'412'!$P$24,'412'!$P$26,'412'!$P$28</definedName>
    <definedName name="OSRRefP22x_0" localSheetId="75">'413'!$P$20,'413'!$P$22,'413'!$P$24</definedName>
    <definedName name="OSRRefP22x_0" localSheetId="76">'414'!$P$20,'414'!$P$22,'414'!$P$24</definedName>
    <definedName name="OSRRefP22x_0" localSheetId="77">'415'!$P$27:$P$36,'415'!$P$38:$P$47,'415'!$P$49,'415'!$P$51,'415'!$P$53,'415'!$P$55:$P$56,'415'!$P$58,'415'!$P$60,'415'!$P$62,'415'!$P$64,'415'!$P$66,'415'!$P$68:$P$69,'415'!$P$71:$P$74,'415'!$P$76,'415'!$P$78:$P$85,'415'!$P$87:$P$88,'415'!$P$90,'415'!$P$92</definedName>
    <definedName name="OSRRefP22x_0" localSheetId="78">'418'!$P$24:$P$32,'418'!$P$34:$P$43,'418'!$P$45,'418'!$P$47,'418'!$P$49:$P$50,'418'!$P$52,'418'!$P$54,'418'!$P$56:$P$57,'418'!$P$59:$P$60,'418'!$P$62:$P$65,'418'!$P$67,'418'!$P$69:$P$76,'418'!$P$78:$P$79,'418'!$P$81,'418'!$P$83,'418'!$P$85</definedName>
    <definedName name="OSRRefP22x_0" localSheetId="79">'423'!$P$20:$P$27,'423'!$P$29:$P$38,'423'!$P$40,'423'!$P$42,'423'!$P$44,'423'!$P$46</definedName>
    <definedName name="OSRRefP22x_0" localSheetId="80">'424'!$P$20,'424'!$P$22,'424'!$P$24</definedName>
    <definedName name="OSRRefP22x_0" localSheetId="81">'425'!$P$22,'425'!$P$24,'425'!$P$26,'425'!$P$28,'425'!$P$30,'425'!$P$32</definedName>
    <definedName name="OSRRefP22x_0" localSheetId="83">'430'!$P$20:$P$28,'430'!$P$30:$P$39,'430'!$P$41,'430'!$P$43,'430'!$P$45,'430'!$P$47:$P$48,'430'!$P$50:$P$51,'430'!$P$53,'430'!$P$55</definedName>
    <definedName name="OSRRefP22x_0" localSheetId="84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5">'435'!$P$23:$P$24,'435'!$P$26,'435'!$P$28,'435'!$P$30,'435'!$P$32</definedName>
    <definedName name="OSRRefP22x_0" localSheetId="86">'444'!$P$27:$P$36,'444'!$P$38:$P$47,'444'!$P$49,'444'!$P$51,'444'!$P$53,'444'!$P$55,'444'!$P$57,'444'!$P$59,'444'!$P$61,'444'!$P$63,'444'!$P$65,'444'!$P$67:$P$68,'444'!$P$70:$P$73,'444'!$P$75,'444'!$P$77:$P$85,'444'!$P$87,'444'!$P$89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0">'491'!$P$28:$P$37,'491'!$P$39:$P$48,'491'!$P$50,'491'!$P$52,'491'!$P$54,'491'!$P$56:$P$57,'491'!$P$59,'491'!$P$61,'491'!$P$63:$P$64,'491'!$P$66,'491'!$P$68,'491'!$P$70,'491'!$P$72:$P$75,'491'!$P$77,'491'!$P$79:$P$83,'491'!$P$85,'491'!$P$87:$P$96,'491'!$P$98:$P$99,'491'!$P$101,'491'!$P$103:$P$104,'491'!$P$106</definedName>
    <definedName name="OSRRefP22x_0" localSheetId="82">'492'!$P$29:$P$38,'492'!$P$40:$P$49,'492'!$P$51,'492'!$P$53,'492'!$P$55,'492'!$P$57,'492'!$P$59,'492'!$P$61,'492'!$P$63,'492'!$P$65,'492'!$P$67,'492'!$P$69,'492'!$P$71:$P$73,'492'!$P$75:$P$78,'492'!$P$80,'492'!$P$82:$P$90,'492'!$P$92:$P$93,'492'!$P$95,'492'!$P$97:$P$98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47">'Div 3'!$P$60:$P$69,'Div 3'!$P$71:$P$80,'Div 3'!$P$82,'Div 3'!$P$84,'Div 3'!$P$86,'Div 3'!$P$88:$P$89,'Div 3'!$P$91:$P$92,'Div 3'!$P$94,'Div 3'!$P$96,'Div 3'!$P$98,'Div 3'!$P$100:$P$101,'Div 3'!$P$103:$P$104,'Div 3'!$P$106,'Div 3'!$P$108,'Div 3'!$P$110,'Div 3'!$P$112,'Div 3'!$P$114,'Div 3'!$P$116:$P$119,'Div 3'!$P$121:$P$124,'Div 3'!$P$126:$P$129,'Div 3'!$P$131:$P$132,'Div 3'!$P$134:$P$140,'Div 3'!$P$142:$P$143,'Div 3'!$P$145,'Div 3'!$P$147:$P$149,'Div 3'!$P$151</definedName>
    <definedName name="OSRRefP22x_0" localSheetId="68">'Div 4'!$P$31:$P$40,'Div 4'!$P$42:$P$51,'Div 4'!$P$53,'Div 4'!$P$55,'Div 4'!$P$57,'Div 4'!$P$59:$P$60,'Div 4'!$P$62,'Div 4'!$P$64,'Div 4'!$P$66,'Div 4'!$P$68:$P$69,'Div 4'!$P$71,'Div 4'!$P$73,'Div 4'!$P$75,'Div 4'!$P$77,'Div 4'!$P$79:$P$82,'Div 4'!$P$84,'Div 4'!$P$86:$P$90,'Div 4'!$P$92:$P$93,'Div 4'!$P$95:$P$104,'Div 4'!$P$106:$P$107,'Div 4'!$P$109,'Div 4'!$P$111:$P$112,'Div 4'!$P$114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6'!$P$69,'Div 6'!$P$71:$P$72,'Div 6'!$P$74</definedName>
    <definedName name="OSRRefP22x_0" localSheetId="2">Summary!$P$68:$P$77,Summary!$P$79:$P$88,Summary!$P$90,Summary!$P$92,Summary!$P$94,Summary!$P$96:$P$97,Summary!$P$99:$P$100,Summary!$P$102,Summary!$P$104,Summary!$P$106,Summary!$P$108:$P$109,Summary!$P$111:$P$113,Summary!$P$115,Summary!$P$117,Summary!$P$119,Summary!$P$121,Summary!$P$123,Summary!$P$125,Summary!$P$127:$P$130,Summary!$P$132:$P$135,Summary!$P$137:$P$141,Summary!$P$143:$P$144,Summary!$P$146:$P$155,Summary!$P$157:$P$158,Summary!$P$160,Summary!$P$162:$P$164,Summary!$P$166</definedName>
    <definedName name="OSRRefP25x_0" localSheetId="48">'300'!$P$145:$P$149</definedName>
    <definedName name="OSRRefP25x_0" localSheetId="49">'300 &amp; 317'!$P$151:$P$157</definedName>
    <definedName name="OSRRefP25x_0" localSheetId="50">'301'!$P$98:$P$99</definedName>
    <definedName name="OSRRefP25x_0" localSheetId="51">'308'!$P$88:$P$91</definedName>
    <definedName name="OSRRefP25x_0" localSheetId="69">'310 &amp; 491'!$P$111:$P$114</definedName>
    <definedName name="OSRRefP25x_0" localSheetId="52">'311'!$P$88:$P$91</definedName>
    <definedName name="OSRRefP25x_0" localSheetId="57">'315'!$P$108:$P$110</definedName>
    <definedName name="OSRRefP25x_0" localSheetId="60">'316'!$P$76</definedName>
    <definedName name="OSRRefP25x_0" localSheetId="62">'317'!$P$77:$P$79</definedName>
    <definedName name="OSRRefP25x_0" localSheetId="56">'331'!$P$120:$P$122</definedName>
    <definedName name="OSRRefP25x_0" localSheetId="59">'332'!$P$76</definedName>
    <definedName name="OSRRefP25x_0" localSheetId="54">'333'!$P$125:$P$127</definedName>
    <definedName name="OSRRefP25x_0" localSheetId="71">'405'!$P$92</definedName>
    <definedName name="OSRRefP25x_0" localSheetId="73">'411'!$P$78</definedName>
    <definedName name="OSRRefP25x_0" localSheetId="77">'415'!$P$95</definedName>
    <definedName name="OSRRefP25x_0" localSheetId="78">'418'!$P$88</definedName>
    <definedName name="OSRRefP25x_0" localSheetId="79">'423'!$P$49:$P$51</definedName>
    <definedName name="OSRRefP25x_0" localSheetId="70">'491'!$P$109:$P$112</definedName>
    <definedName name="OSRRefP25x_0" localSheetId="89">'501'!$P$73</definedName>
    <definedName name="OSRRefP25x_0" localSheetId="47">'Div 3'!$P$154:$P$158</definedName>
    <definedName name="OSRRefP25x_0" localSheetId="68">'Div 4'!$P$117:$P$120</definedName>
    <definedName name="OSRRefP25x_0" localSheetId="88">'Div 5'!$P$73</definedName>
    <definedName name="OSRRefP25x_0" localSheetId="61">'Div 6'!$P$77:$P$79</definedName>
    <definedName name="OSRRefP25x_0" localSheetId="2">Summary!$P$169:$P$176</definedName>
    <definedName name="OSRRefT13x_0" localSheetId="48">'300'!$T$13:$T$19</definedName>
    <definedName name="OSRRefT13x_0" localSheetId="49">'300 &amp; 317'!$T$13:$T$19</definedName>
    <definedName name="OSRRefT13x_0" localSheetId="55">'307'!$T$13:$T$16</definedName>
    <definedName name="OSRRefT13x_0" localSheetId="51">'308'!$T$13:$T$17</definedName>
    <definedName name="OSRRefT13x_0" localSheetId="64">'309'!$T$13:$T$16</definedName>
    <definedName name="OSRRefT13x_0" localSheetId="63">'310'!$T$13:$T$18</definedName>
    <definedName name="OSRRefT13x_0" localSheetId="69">'310 &amp; 491'!$T$13:$T$18</definedName>
    <definedName name="OSRRefT13x_0" localSheetId="52">'311'!$T$13:$T$17</definedName>
    <definedName name="OSRRefT13x_0" localSheetId="57">'315'!$T$13:$T$17</definedName>
    <definedName name="OSRRefT13x_0" localSheetId="60">'316'!$T$13:$T$17</definedName>
    <definedName name="OSRRefT13x_0" localSheetId="62">'317'!$T$13:$T$17</definedName>
    <definedName name="OSRRefT13x_0" localSheetId="65">'321'!$T$13:$T$14</definedName>
    <definedName name="OSRRefT13x_0" localSheetId="53">'324'!$T$13:$T$14</definedName>
    <definedName name="OSRRefT13x_0" localSheetId="66">'325'!$T$13:$T$14</definedName>
    <definedName name="OSRRefT13x_0" localSheetId="58">'326'!$T$13:$T$16</definedName>
    <definedName name="OSRRefT13x_0" localSheetId="67">'327'!$T$13:$T$15</definedName>
    <definedName name="OSRRefT13x_0" localSheetId="56">'331'!$T$13:$T$17</definedName>
    <definedName name="OSRRefT13x_0" localSheetId="59">'332'!$T$13:$T$17</definedName>
    <definedName name="OSRRefT13x_0" localSheetId="54">'333'!$T$13:$T$17</definedName>
    <definedName name="OSRRefT13x_0" localSheetId="71">'405'!$T$13:$T$16</definedName>
    <definedName name="OSRRefT13x_0" localSheetId="77">'415'!$T$13:$T$16</definedName>
    <definedName name="OSRRefT13x_0" localSheetId="78">'418'!$T$13:$T$14</definedName>
    <definedName name="OSRRefT13x_0" localSheetId="81">'425'!$T$13</definedName>
    <definedName name="OSRRefT13x_0" localSheetId="84">'433'!$T$13:$T$16</definedName>
    <definedName name="OSRRefT13x_0" localSheetId="85">'435'!$T$13:$T$14</definedName>
    <definedName name="OSRRefT13x_0" localSheetId="86">'444'!$T$13:$T$16</definedName>
    <definedName name="OSRRefT13x_0" localSheetId="87">'450'!$T$13:$T$16</definedName>
    <definedName name="OSRRefT13x_0" localSheetId="70">'491'!$T$13:$T$17</definedName>
    <definedName name="OSRRefT13x_0" localSheetId="82">'492'!$T$13:$T$18</definedName>
    <definedName name="OSRRefT13x_0" localSheetId="89">'501'!$T$13</definedName>
    <definedName name="OSRRefT13x_0" localSheetId="47">'Div 3'!$T$13:$T$23</definedName>
    <definedName name="OSRRefT13x_0" localSheetId="68">'Div 4'!$T$13:$T$20</definedName>
    <definedName name="OSRRefT13x_0" localSheetId="88">'Div 5'!$T$13</definedName>
    <definedName name="OSRRefT13x_0" localSheetId="61">'Div 6'!$T$13:$T$17</definedName>
    <definedName name="OSRRefT13x_0" localSheetId="2">Summary!$T$13:$T$25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5">'307'!$T$19:$T$28</definedName>
    <definedName name="OSRRefT16x_0" localSheetId="51">'308'!$T$20:$T$29</definedName>
    <definedName name="OSRRefT16x_0" localSheetId="64">'309'!$T$19:$T$20</definedName>
    <definedName name="OSRRefT16x_0" localSheetId="63">'310'!$T$21:$T$23</definedName>
    <definedName name="OSRRefT16x_0" localSheetId="69">'310 &amp; 491'!$T$21:$T$23</definedName>
    <definedName name="OSRRefT16x_0" localSheetId="52">'311'!$T$20:$T$29</definedName>
    <definedName name="OSRRefT16x_0" localSheetId="57">'315'!$T$20:$T$38</definedName>
    <definedName name="OSRRefT16x_0" localSheetId="60">'316'!$T$20:$T$21</definedName>
    <definedName name="OSRRefT16x_0" localSheetId="62">'317'!$T$20:$T$29</definedName>
    <definedName name="OSRRefT16x_0" localSheetId="65">'321'!$T$17:$T$18</definedName>
    <definedName name="OSRRefT16x_0" localSheetId="53">'324'!$T$17</definedName>
    <definedName name="OSRRefT16x_0" localSheetId="66">'325'!$T$17:$T$19</definedName>
    <definedName name="OSRRefT16x_0" localSheetId="58">'326'!$T$19:$T$22</definedName>
    <definedName name="OSRRefT16x_0" localSheetId="67">'327'!$T$18:$T$20</definedName>
    <definedName name="OSRRefT16x_0" localSheetId="56">'331'!$T$20:$T$38</definedName>
    <definedName name="OSRRefT16x_0" localSheetId="59">'332'!$T$20:$T$21</definedName>
    <definedName name="OSRRefT16x_0" localSheetId="54">'333'!$T$20:$T$40</definedName>
    <definedName name="OSRRefT16x_0" localSheetId="71">'405'!$T$19:$T$21</definedName>
    <definedName name="OSRRefT16x_0" localSheetId="77">'415'!$T$19:$T$21</definedName>
    <definedName name="OSRRefT16x_0" localSheetId="78">'418'!$T$17:$T$18</definedName>
    <definedName name="OSRRefT16x_0" localSheetId="81">'425'!$T$16</definedName>
    <definedName name="OSRRefT16x_0" localSheetId="84">'433'!$T$19:$T$21</definedName>
    <definedName name="OSRRefT16x_0" localSheetId="85">'435'!$T$17</definedName>
    <definedName name="OSRRefT16x_0" localSheetId="86">'444'!$T$19:$T$21</definedName>
    <definedName name="OSRRefT16x_0" localSheetId="87">'450'!$T$19:$T$21</definedName>
    <definedName name="OSRRefT16x_0" localSheetId="70">'491'!$T$20:$T$22</definedName>
    <definedName name="OSRRefT16x_0" localSheetId="82">'492'!$T$21:$T$23</definedName>
    <definedName name="OSRRefT16x_0" localSheetId="47">'Div 3'!$T$26:$T$54</definedName>
    <definedName name="OSRRefT16x_0" localSheetId="68">'Div 4'!$T$23:$T$25</definedName>
    <definedName name="OSRRefT16x_0" localSheetId="61">'Div 6'!$T$20:$T$29</definedName>
    <definedName name="OSRRefT16x_0" localSheetId="2">Summary!$T$28:$T$62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5">'307'!$T$34:$T$42</definedName>
    <definedName name="OSRRefT22_0x_0" localSheetId="51">'308'!$T$35:$T$44</definedName>
    <definedName name="OSRRefT22_0x_0" localSheetId="64">'309'!$T$26:$T$27</definedName>
    <definedName name="OSRRefT22_0x_0" localSheetId="63">'310'!$T$29:$T$38</definedName>
    <definedName name="OSRRefT22_0x_0" localSheetId="69">'310 &amp; 491'!$T$29:$T$38</definedName>
    <definedName name="OSRRefT22_0x_0" localSheetId="52">'311'!$T$35:$T$44</definedName>
    <definedName name="OSRRefT22_0x_0" localSheetId="57">'315'!$T$44:$T$52</definedName>
    <definedName name="OSRRefT22_0x_0" localSheetId="60">'316'!$T$27:$T$35</definedName>
    <definedName name="OSRRefT22_0x_0" localSheetId="62">'317'!$T$35:$T$44</definedName>
    <definedName name="OSRRefT22_0x_0" localSheetId="65">'321'!$T$24:$T$33</definedName>
    <definedName name="OSRRefT22_0x_0" localSheetId="66">'325'!$T$25:$T$33</definedName>
    <definedName name="OSRRefT22_0x_0" localSheetId="58">'326'!$T$28:$T$36</definedName>
    <definedName name="OSRRefT22_0x_0" localSheetId="67">'327'!$T$26</definedName>
    <definedName name="OSRRefT22_0x_0" localSheetId="56">'331'!$T$44:$T$52</definedName>
    <definedName name="OSRRefT22_0x_0" localSheetId="59">'332'!$T$27:$T$35</definedName>
    <definedName name="OSRRefT22_0x_0" localSheetId="54">'333'!$T$46:$T$54</definedName>
    <definedName name="OSRRefT22_0x_0" localSheetId="71">'405'!$T$27:$T$35</definedName>
    <definedName name="OSRRefT22_0x_0" localSheetId="72">'406'!$T$20</definedName>
    <definedName name="OSRRefT22_0x_0" localSheetId="73">'411'!$T$20:$T$28</definedName>
    <definedName name="OSRRefT22_0x_0" localSheetId="74">'412'!$T$20</definedName>
    <definedName name="OSRRefT22_0x_0" localSheetId="75">'413'!$T$20</definedName>
    <definedName name="OSRRefT22_0x_0" localSheetId="76">'414'!$T$20</definedName>
    <definedName name="OSRRefT22_0x_0" localSheetId="77">'415'!$T$27:$T$36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'425'!$T$22</definedName>
    <definedName name="OSRRefT22_0x_0" localSheetId="83">'430'!$T$20:$T$28</definedName>
    <definedName name="OSRRefT22_0x_0" localSheetId="84">'433'!$T$27:$T$36</definedName>
    <definedName name="OSRRefT22_0x_0" localSheetId="85">'435'!$T$23:$T$24</definedName>
    <definedName name="OSRRefT22_0x_0" localSheetId="86">'444'!$T$27:$T$36</definedName>
    <definedName name="OSRRefT22_0x_0" localSheetId="87">'450'!$T$27:$T$36</definedName>
    <definedName name="OSRRefT22_0x_0" localSheetId="70">'491'!$T$28:$T$37</definedName>
    <definedName name="OSRRefT22_0x_0" localSheetId="82">'492'!$T$29:$T$38</definedName>
    <definedName name="OSRRefT22_0x_0" localSheetId="89">'501'!$T$21:$T$30</definedName>
    <definedName name="OSRRefT22_0x_0" localSheetId="39">'Div 2'!$T$20:$T$30</definedName>
    <definedName name="OSRRefT22_0x_0" localSheetId="47">'Div 3'!$T$60:$T$69</definedName>
    <definedName name="OSRRefT22_0x_0" localSheetId="68">'Div 4'!$T$31:$T$40</definedName>
    <definedName name="OSRRefT22_0x_0" localSheetId="88">'Div 5'!$T$21:$T$30</definedName>
    <definedName name="OSRRefT22_0x_0" localSheetId="61">'Div 6'!$T$35:$T$44</definedName>
    <definedName name="OSRRefT22_0x_0" localSheetId="2">Summary!$T$68:$T$77</definedName>
    <definedName name="OSRRefT22_10x_0" localSheetId="41">'201'!$T$59:$T$60</definedName>
    <definedName name="OSRRefT22_10x_0" localSheetId="42">'202'!$T$60</definedName>
    <definedName name="OSRRefT22_10x_0" localSheetId="43">'203'!$T$61:$T$62</definedName>
    <definedName name="OSRRefT22_10x_0" localSheetId="44">'204'!$T$63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5">'307'!$T$73:$T$74</definedName>
    <definedName name="OSRRefT22_10x_0" localSheetId="51">'308'!$T$76:$T$77</definedName>
    <definedName name="OSRRefT22_10x_0" localSheetId="64">'309'!$T$50:$T$51</definedName>
    <definedName name="OSRRefT22_10x_0" localSheetId="63">'310'!$T$68</definedName>
    <definedName name="OSRRefT22_10x_0" localSheetId="69">'310 &amp; 491'!$T$69</definedName>
    <definedName name="OSRRefT22_10x_0" localSheetId="52">'311'!$T$76:$T$77</definedName>
    <definedName name="OSRRefT22_10x_0" localSheetId="57">'315'!$T$82</definedName>
    <definedName name="OSRRefT22_10x_0" localSheetId="60">'316'!$T$67:$T$71</definedName>
    <definedName name="OSRRefT22_10x_0" localSheetId="62">'317'!$T$74</definedName>
    <definedName name="OSRRefT22_10x_0" localSheetId="65">'321'!$T$66:$T$69</definedName>
    <definedName name="OSRRefT22_10x_0" localSheetId="66">'325'!$T$63</definedName>
    <definedName name="OSRRefT22_10x_0" localSheetId="58">'326'!$T$66</definedName>
    <definedName name="OSRRefT22_10x_0" localSheetId="56">'331'!$T$83</definedName>
    <definedName name="OSRRefT22_10x_0" localSheetId="59">'332'!$T$67:$T$71</definedName>
    <definedName name="OSRRefT22_10x_0" localSheetId="54">'333'!$T$86</definedName>
    <definedName name="OSRRefT22_10x_0" localSheetId="71">'405'!$T$66:$T$69</definedName>
    <definedName name="OSRRefT22_10x_0" localSheetId="73">'411'!$T$63</definedName>
    <definedName name="OSRRefT22_10x_0" localSheetId="77">'415'!$T$66</definedName>
    <definedName name="OSRRefT22_10x_0" localSheetId="78">'418'!$T$67</definedName>
    <definedName name="OSRRefT22_10x_0" localSheetId="84">'433'!$T$65</definedName>
    <definedName name="OSRRefT22_10x_0" localSheetId="86">'444'!$T$65</definedName>
    <definedName name="OSRRefT22_10x_0" localSheetId="87">'450'!$T$65</definedName>
    <definedName name="OSRRefT22_10x_0" localSheetId="70">'491'!$T$68</definedName>
    <definedName name="OSRRefT22_10x_0" localSheetId="82">'492'!$T$67</definedName>
    <definedName name="OSRRefT22_10x_0" localSheetId="89">'501'!$T$62</definedName>
    <definedName name="OSRRefT22_10x_0" localSheetId="39">'Div 2'!$T$60</definedName>
    <definedName name="OSRRefT22_10x_0" localSheetId="47">'Div 3'!$T$100:$T$101</definedName>
    <definedName name="OSRRefT22_10x_0" localSheetId="68">'Div 4'!$T$71</definedName>
    <definedName name="OSRRefT22_10x_0" localSheetId="88">'Div 5'!$T$62</definedName>
    <definedName name="OSRRefT22_10x_0" localSheetId="61">'Div 6'!$T$74</definedName>
    <definedName name="OSRRefT22_10x_0" localSheetId="2">Summary!$T$108:$T$109</definedName>
    <definedName name="OSRRefT22_11x_0" localSheetId="41">'201'!$T$62</definedName>
    <definedName name="OSRRefT22_11x_0" localSheetId="42">'202'!$T$62</definedName>
    <definedName name="OSRRefT22_11x_0" localSheetId="43">'203'!$T$64:$T$67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5">'307'!$T$76</definedName>
    <definedName name="OSRRefT22_11x_0" localSheetId="51">'308'!$T$79:$T$80</definedName>
    <definedName name="OSRRefT22_11x_0" localSheetId="64">'309'!$T$53</definedName>
    <definedName name="OSRRefT22_11x_0" localSheetId="63">'310'!$T$70:$T$72</definedName>
    <definedName name="OSRRefT22_11x_0" localSheetId="69">'310 &amp; 491'!$T$71</definedName>
    <definedName name="OSRRefT22_11x_0" localSheetId="52">'311'!$T$79:$T$80</definedName>
    <definedName name="OSRRefT22_11x_0" localSheetId="57">'315'!$T$84</definedName>
    <definedName name="OSRRefT22_11x_0" localSheetId="60">'316'!$T$73</definedName>
    <definedName name="OSRRefT22_11x_0" localSheetId="65">'321'!$T$71</definedName>
    <definedName name="OSRRefT22_11x_0" localSheetId="66">'325'!$T$65:$T$67</definedName>
    <definedName name="OSRRefT22_11x_0" localSheetId="58">'326'!$T$68:$T$69</definedName>
    <definedName name="OSRRefT22_11x_0" localSheetId="56">'331'!$T$85</definedName>
    <definedName name="OSRRefT22_11x_0" localSheetId="59">'332'!$T$73</definedName>
    <definedName name="OSRRefT22_11x_0" localSheetId="54">'333'!$T$88</definedName>
    <definedName name="OSRRefT22_11x_0" localSheetId="71">'405'!$T$71</definedName>
    <definedName name="OSRRefT22_11x_0" localSheetId="73">'411'!$T$65:$T$66</definedName>
    <definedName name="OSRRefT22_11x_0" localSheetId="77">'415'!$T$68:$T$69</definedName>
    <definedName name="OSRRefT22_11x_0" localSheetId="78">'418'!$T$69:$T$76</definedName>
    <definedName name="OSRRefT22_11x_0" localSheetId="84">'433'!$T$67:$T$69</definedName>
    <definedName name="OSRRefT22_11x_0" localSheetId="86">'444'!$T$67:$T$68</definedName>
    <definedName name="OSRRefT22_11x_0" localSheetId="87">'450'!$T$67:$T$69</definedName>
    <definedName name="OSRRefT22_11x_0" localSheetId="70">'491'!$T$70</definedName>
    <definedName name="OSRRefT22_11x_0" localSheetId="82">'492'!$T$69</definedName>
    <definedName name="OSRRefT22_11x_0" localSheetId="89">'501'!$T$64:$T$66</definedName>
    <definedName name="OSRRefT22_11x_0" localSheetId="39">'Div 2'!$T$62</definedName>
    <definedName name="OSRRefT22_11x_0" localSheetId="47">'Div 3'!$T$103:$T$104</definedName>
    <definedName name="OSRRefT22_11x_0" localSheetId="68">'Div 4'!$T$73</definedName>
    <definedName name="OSRRefT22_11x_0" localSheetId="88">'Div 5'!$T$64:$T$66</definedName>
    <definedName name="OSRRefT22_11x_0" localSheetId="2">Summary!$T$111:$T$113</definedName>
    <definedName name="OSRRefT22_12x_0" localSheetId="41">'201'!$T$64:$T$65</definedName>
    <definedName name="OSRRefT22_12x_0" localSheetId="42">'202'!$T$64</definedName>
    <definedName name="OSRRefT22_12x_0" localSheetId="43">'203'!$T$69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5">'307'!$T$78:$T$81</definedName>
    <definedName name="OSRRefT22_12x_0" localSheetId="51">'308'!$T$82:$T$83</definedName>
    <definedName name="OSRRefT22_12x_0" localSheetId="64">'309'!$T$55</definedName>
    <definedName name="OSRRefT22_12x_0" localSheetId="63">'310'!$T$74:$T$75</definedName>
    <definedName name="OSRRefT22_12x_0" localSheetId="69">'310 &amp; 491'!$T$73:$T$76</definedName>
    <definedName name="OSRRefT22_12x_0" localSheetId="52">'311'!$T$82:$T$83</definedName>
    <definedName name="OSRRefT22_12x_0" localSheetId="57">'315'!$T$86:$T$87</definedName>
    <definedName name="OSRRefT22_12x_0" localSheetId="65">'321'!$T$73</definedName>
    <definedName name="OSRRefT22_12x_0" localSheetId="66">'325'!$T$69:$T$71</definedName>
    <definedName name="OSRRefT22_12x_0" localSheetId="58">'326'!$T$71:$T$72</definedName>
    <definedName name="OSRRefT22_12x_0" localSheetId="56">'331'!$T$87</definedName>
    <definedName name="OSRRefT22_12x_0" localSheetId="54">'333'!$T$90</definedName>
    <definedName name="OSRRefT22_12x_0" localSheetId="71">'405'!$T$73:$T$81</definedName>
    <definedName name="OSRRefT22_12x_0" localSheetId="73">'411'!$T$68</definedName>
    <definedName name="OSRRefT22_12x_0" localSheetId="77">'415'!$T$71:$T$74</definedName>
    <definedName name="OSRRefT22_12x_0" localSheetId="78">'418'!$T$78:$T$79</definedName>
    <definedName name="OSRRefT22_12x_0" localSheetId="84">'433'!$T$71:$T$74</definedName>
    <definedName name="OSRRefT22_12x_0" localSheetId="86">'444'!$T$70:$T$73</definedName>
    <definedName name="OSRRefT22_12x_0" localSheetId="87">'450'!$T$71:$T$74</definedName>
    <definedName name="OSRRefT22_12x_0" localSheetId="70">'491'!$T$72:$T$75</definedName>
    <definedName name="OSRRefT22_12x_0" localSheetId="82">'492'!$T$71:$T$73</definedName>
    <definedName name="OSRRefT22_12x_0" localSheetId="89">'501'!$T$68</definedName>
    <definedName name="OSRRefT22_12x_0" localSheetId="39">'Div 2'!$T$64:$T$67</definedName>
    <definedName name="OSRRefT22_12x_0" localSheetId="47">'Div 3'!$T$106</definedName>
    <definedName name="OSRRefT22_12x_0" localSheetId="68">'Div 4'!$T$75</definedName>
    <definedName name="OSRRefT22_12x_0" localSheetId="88">'Div 5'!$T$68</definedName>
    <definedName name="OSRRefT22_12x_0" localSheetId="2">Summary!$T$115</definedName>
    <definedName name="OSRRefT22_13x_0" localSheetId="41">'201'!$T$67</definedName>
    <definedName name="OSRRefT22_13x_0" localSheetId="43">'203'!$T$71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55">'307'!$T$83</definedName>
    <definedName name="OSRRefT22_13x_0" localSheetId="51">'308'!$T$85</definedName>
    <definedName name="OSRRefT22_13x_0" localSheetId="63">'310'!$T$77:$T$79</definedName>
    <definedName name="OSRRefT22_13x_0" localSheetId="69">'310 &amp; 491'!$T$78:$T$79</definedName>
    <definedName name="OSRRefT22_13x_0" localSheetId="52">'311'!$T$85</definedName>
    <definedName name="OSRRefT22_13x_0" localSheetId="57">'315'!$T$89:$T$91</definedName>
    <definedName name="OSRRefT22_13x_0" localSheetId="66">'325'!$T$73:$T$78</definedName>
    <definedName name="OSRRefT22_13x_0" localSheetId="58">'326'!$T$74:$T$75</definedName>
    <definedName name="OSRRefT22_13x_0" localSheetId="56">'331'!$T$89</definedName>
    <definedName name="OSRRefT22_13x_0" localSheetId="54">'333'!$T$92</definedName>
    <definedName name="OSRRefT22_13x_0" localSheetId="71">'405'!$T$83</definedName>
    <definedName name="OSRRefT22_13x_0" localSheetId="73">'411'!$T$70</definedName>
    <definedName name="OSRRefT22_13x_0" localSheetId="77">'415'!$T$76</definedName>
    <definedName name="OSRRefT22_13x_0" localSheetId="78">'418'!$T$81</definedName>
    <definedName name="OSRRefT22_13x_0" localSheetId="84">'433'!$T$76:$T$83</definedName>
    <definedName name="OSRRefT22_13x_0" localSheetId="86">'444'!$T$75</definedName>
    <definedName name="OSRRefT22_13x_0" localSheetId="87">'450'!$T$76:$T$82</definedName>
    <definedName name="OSRRefT22_13x_0" localSheetId="70">'491'!$T$77</definedName>
    <definedName name="OSRRefT22_13x_0" localSheetId="82">'492'!$T$75:$T$78</definedName>
    <definedName name="OSRRefT22_13x_0" localSheetId="89">'501'!$T$70</definedName>
    <definedName name="OSRRefT22_13x_0" localSheetId="39">'Div 2'!$T$69:$T$72</definedName>
    <definedName name="OSRRefT22_13x_0" localSheetId="47">'Div 3'!$T$108</definedName>
    <definedName name="OSRRefT22_13x_0" localSheetId="68">'Div 4'!$T$77</definedName>
    <definedName name="OSRRefT22_13x_0" localSheetId="88">'Div 5'!$T$70</definedName>
    <definedName name="OSRRefT22_13x_0" localSheetId="2">Summary!$T$117</definedName>
    <definedName name="OSRRefT22_14x_0" localSheetId="41">'201'!$T$69</definedName>
    <definedName name="OSRRefT22_14x_0" localSheetId="43">'203'!$T$73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3">'310'!$T$81:$T$86</definedName>
    <definedName name="OSRRefT22_14x_0" localSheetId="69">'310 &amp; 491'!$T$81:$T$85</definedName>
    <definedName name="OSRRefT22_14x_0" localSheetId="57">'315'!$T$93:$T$94</definedName>
    <definedName name="OSRRefT22_14x_0" localSheetId="66">'325'!$T$80:$T$81</definedName>
    <definedName name="OSRRefT22_14x_0" localSheetId="58">'326'!$T$77:$T$79</definedName>
    <definedName name="OSRRefT22_14x_0" localSheetId="56">'331'!$T$91:$T$92</definedName>
    <definedName name="OSRRefT22_14x_0" localSheetId="54">'333'!$T$94:$T$95</definedName>
    <definedName name="OSRRefT22_14x_0" localSheetId="71">'405'!$T$85</definedName>
    <definedName name="OSRRefT22_14x_0" localSheetId="73">'411'!$T$72:$T$73</definedName>
    <definedName name="OSRRefT22_14x_0" localSheetId="77">'415'!$T$78:$T$85</definedName>
    <definedName name="OSRRefT22_14x_0" localSheetId="78">'418'!$T$83</definedName>
    <definedName name="OSRRefT22_14x_0" localSheetId="84">'433'!$T$85</definedName>
    <definedName name="OSRRefT22_14x_0" localSheetId="86">'444'!$T$77:$T$85</definedName>
    <definedName name="OSRRefT22_14x_0" localSheetId="87">'450'!$T$84</definedName>
    <definedName name="OSRRefT22_14x_0" localSheetId="70">'491'!$T$79:$T$83</definedName>
    <definedName name="OSRRefT22_14x_0" localSheetId="82">'492'!$T$80</definedName>
    <definedName name="OSRRefT22_14x_0" localSheetId="39">'Div 2'!$T$74:$T$75</definedName>
    <definedName name="OSRRefT22_14x_0" localSheetId="47">'Div 3'!$T$110</definedName>
    <definedName name="OSRRefT22_14x_0" localSheetId="68">'Div 4'!$T$79:$T$82</definedName>
    <definedName name="OSRRefT22_14x_0" localSheetId="2">Summary!$T$119</definedName>
    <definedName name="OSRRefT22_15x_0" localSheetId="41">'201'!$T$71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3">'310'!$T$88:$T$89</definedName>
    <definedName name="OSRRefT22_15x_0" localSheetId="69">'310 &amp; 491'!$T$87</definedName>
    <definedName name="OSRRefT22_15x_0" localSheetId="57">'315'!$T$96:$T$99</definedName>
    <definedName name="OSRRefT22_15x_0" localSheetId="66">'325'!$T$83</definedName>
    <definedName name="OSRRefT22_15x_0" localSheetId="58">'326'!$T$81</definedName>
    <definedName name="OSRRefT22_15x_0" localSheetId="56">'331'!$T$94:$T$96</definedName>
    <definedName name="OSRRefT22_15x_0" localSheetId="54">'333'!$T$97:$T$99</definedName>
    <definedName name="OSRRefT22_15x_0" localSheetId="71">'405'!$T$87</definedName>
    <definedName name="OSRRefT22_15x_0" localSheetId="73">'411'!$T$75</definedName>
    <definedName name="OSRRefT22_15x_0" localSheetId="77">'415'!$T$87:$T$88</definedName>
    <definedName name="OSRRefT22_15x_0" localSheetId="78">'418'!$T$85</definedName>
    <definedName name="OSRRefT22_15x_0" localSheetId="84">'433'!$T$87</definedName>
    <definedName name="OSRRefT22_15x_0" localSheetId="86">'444'!$T$87</definedName>
    <definedName name="OSRRefT22_15x_0" localSheetId="87">'450'!$T$86</definedName>
    <definedName name="OSRRefT22_15x_0" localSheetId="70">'491'!$T$85</definedName>
    <definedName name="OSRRefT22_15x_0" localSheetId="82">'492'!$T$82:$T$90</definedName>
    <definedName name="OSRRefT22_15x_0" localSheetId="39">'Div 2'!$T$77:$T$78</definedName>
    <definedName name="OSRRefT22_15x_0" localSheetId="47">'Div 3'!$T$112</definedName>
    <definedName name="OSRRefT22_15x_0" localSheetId="68">'Div 4'!$T$84</definedName>
    <definedName name="OSRRefT22_15x_0" localSheetId="2">Summary!$T$121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3">'310'!$T$91</definedName>
    <definedName name="OSRRefT22_16x_0" localSheetId="69">'310 &amp; 491'!$T$89:$T$98</definedName>
    <definedName name="OSRRefT22_16x_0" localSheetId="57">'315'!$T$101</definedName>
    <definedName name="OSRRefT22_16x_0" localSheetId="66">'325'!$T$85</definedName>
    <definedName name="OSRRefT22_16x_0" localSheetId="58">'326'!$T$83:$T$84</definedName>
    <definedName name="OSRRefT22_16x_0" localSheetId="56">'331'!$T$98:$T$99</definedName>
    <definedName name="OSRRefT22_16x_0" localSheetId="54">'333'!$T$101:$T$103</definedName>
    <definedName name="OSRRefT22_16x_0" localSheetId="71">'405'!$T$89</definedName>
    <definedName name="OSRRefT22_16x_0" localSheetId="77">'415'!$T$90</definedName>
    <definedName name="OSRRefT22_16x_0" localSheetId="86">'444'!$T$89</definedName>
    <definedName name="OSRRefT22_16x_0" localSheetId="87">'450'!$T$88</definedName>
    <definedName name="OSRRefT22_16x_0" localSheetId="70">'491'!$T$87:$T$96</definedName>
    <definedName name="OSRRefT22_16x_0" localSheetId="82">'492'!$T$92:$T$93</definedName>
    <definedName name="OSRRefT22_16x_0" localSheetId="39">'Div 2'!$T$80:$T$85</definedName>
    <definedName name="OSRRefT22_16x_0" localSheetId="47">'Div 3'!$T$114</definedName>
    <definedName name="OSRRefT22_16x_0" localSheetId="68">'Div 4'!$T$86:$T$90</definedName>
    <definedName name="OSRRefT22_16x_0" localSheetId="2">Summary!$T$123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63">'310'!$T$93</definedName>
    <definedName name="OSRRefT22_17x_0" localSheetId="69">'310 &amp; 491'!$T$100:$T$101</definedName>
    <definedName name="OSRRefT22_17x_0" localSheetId="57">'315'!$T$103</definedName>
    <definedName name="OSRRefT22_17x_0" localSheetId="58">'326'!$T$86</definedName>
    <definedName name="OSRRefT22_17x_0" localSheetId="56">'331'!$T$101:$T$102</definedName>
    <definedName name="OSRRefT22_17x_0" localSheetId="54">'333'!$T$105:$T$106</definedName>
    <definedName name="OSRRefT22_17x_0" localSheetId="77">'415'!$T$92</definedName>
    <definedName name="OSRRefT22_17x_0" localSheetId="70">'491'!$T$98:$T$99</definedName>
    <definedName name="OSRRefT22_17x_0" localSheetId="82">'492'!$T$95</definedName>
    <definedName name="OSRRefT22_17x_0" localSheetId="39">'Div 2'!$T$87:$T$88</definedName>
    <definedName name="OSRRefT22_17x_0" localSheetId="47">'Div 3'!$T$116:$T$119</definedName>
    <definedName name="OSRRefT22_17x_0" localSheetId="68">'Div 4'!$T$92:$T$93</definedName>
    <definedName name="OSRRefT22_17x_0" localSheetId="2">Summary!$T$125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69">'310 &amp; 491'!$T$103</definedName>
    <definedName name="OSRRefT22_18x_0" localSheetId="57">'315'!$T$105</definedName>
    <definedName name="OSRRefT22_18x_0" localSheetId="56">'331'!$T$104:$T$108</definedName>
    <definedName name="OSRRefT22_18x_0" localSheetId="54">'333'!$T$108:$T$113</definedName>
    <definedName name="OSRRefT22_18x_0" localSheetId="70">'491'!$T$101</definedName>
    <definedName name="OSRRefT22_18x_0" localSheetId="82">'492'!$T$97:$T$98</definedName>
    <definedName name="OSRRefT22_18x_0" localSheetId="39">'Div 2'!$T$90</definedName>
    <definedName name="OSRRefT22_18x_0" localSheetId="47">'Div 3'!$T$121:$T$124</definedName>
    <definedName name="OSRRefT22_18x_0" localSheetId="68">'Div 4'!$T$95:$T$104</definedName>
    <definedName name="OSRRefT22_18x_0" localSheetId="2">Summary!$T$127:$T$130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69">'310 &amp; 491'!$T$105:$T$106</definedName>
    <definedName name="OSRRefT22_19x_0" localSheetId="56">'331'!$T$110</definedName>
    <definedName name="OSRRefT22_19x_0" localSheetId="54">'333'!$T$115</definedName>
    <definedName name="OSRRefT22_19x_0" localSheetId="70">'491'!$T$103:$T$104</definedName>
    <definedName name="OSRRefT22_19x_0" localSheetId="39">'Div 2'!$T$92:$T$93</definedName>
    <definedName name="OSRRefT22_19x_0" localSheetId="47">'Div 3'!$T$126:$T$129</definedName>
    <definedName name="OSRRefT22_19x_0" localSheetId="68">'Div 4'!$T$106:$T$107</definedName>
    <definedName name="OSRRefT22_19x_0" localSheetId="2">Summary!$T$132:$T$135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5">'307'!$T$44:$T$53</definedName>
    <definedName name="OSRRefT22_1x_0" localSheetId="51">'308'!$T$46:$T$55</definedName>
    <definedName name="OSRRefT22_1x_0" localSheetId="64">'309'!$T$29:$T$30</definedName>
    <definedName name="OSRRefT22_1x_0" localSheetId="63">'310'!$T$40:$T$49</definedName>
    <definedName name="OSRRefT22_1x_0" localSheetId="69">'310 &amp; 491'!$T$40:$T$49</definedName>
    <definedName name="OSRRefT22_1x_0" localSheetId="52">'311'!$T$46:$T$55</definedName>
    <definedName name="OSRRefT22_1x_0" localSheetId="57">'315'!$T$54:$T$63</definedName>
    <definedName name="OSRRefT22_1x_0" localSheetId="60">'316'!$T$37:$T$46</definedName>
    <definedName name="OSRRefT22_1x_0" localSheetId="62">'317'!$T$46:$T$55</definedName>
    <definedName name="OSRRefT22_1x_0" localSheetId="65">'321'!$T$35:$T$44</definedName>
    <definedName name="OSRRefT22_1x_0" localSheetId="66">'325'!$T$35:$T$44</definedName>
    <definedName name="OSRRefT22_1x_0" localSheetId="58">'326'!$T$38:$T$47</definedName>
    <definedName name="OSRRefT22_1x_0" localSheetId="67">'327'!$T$28</definedName>
    <definedName name="OSRRefT22_1x_0" localSheetId="56">'331'!$T$54:$T$63</definedName>
    <definedName name="OSRRefT22_1x_0" localSheetId="59">'332'!$T$37:$T$46</definedName>
    <definedName name="OSRRefT22_1x_0" localSheetId="54">'333'!$T$56:$T$65</definedName>
    <definedName name="OSRRefT22_1x_0" localSheetId="71">'405'!$T$37:$T$46</definedName>
    <definedName name="OSRRefT22_1x_0" localSheetId="72">'406'!$T$22</definedName>
    <definedName name="OSRRefT22_1x_0" localSheetId="73">'411'!$T$30:$T$39</definedName>
    <definedName name="OSRRefT22_1x_0" localSheetId="74">'412'!$T$22</definedName>
    <definedName name="OSRRefT22_1x_0" localSheetId="75">'413'!$T$22</definedName>
    <definedName name="OSRRefT22_1x_0" localSheetId="76">'414'!$T$22</definedName>
    <definedName name="OSRRefT22_1x_0" localSheetId="77">'415'!$T$38:$T$47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'425'!$T$24</definedName>
    <definedName name="OSRRefT22_1x_0" localSheetId="83">'430'!$T$30:$T$39</definedName>
    <definedName name="OSRRefT22_1x_0" localSheetId="84">'433'!$T$38:$T$47</definedName>
    <definedName name="OSRRefT22_1x_0" localSheetId="85">'435'!$T$26</definedName>
    <definedName name="OSRRefT22_1x_0" localSheetId="86">'444'!$T$38:$T$47</definedName>
    <definedName name="OSRRefT22_1x_0" localSheetId="87">'450'!$T$38:$T$47</definedName>
    <definedName name="OSRRefT22_1x_0" localSheetId="70">'491'!$T$39:$T$48</definedName>
    <definedName name="OSRRefT22_1x_0" localSheetId="82">'492'!$T$40:$T$49</definedName>
    <definedName name="OSRRefT22_1x_0" localSheetId="89">'501'!$T$32:$T$41</definedName>
    <definedName name="OSRRefT22_1x_0" localSheetId="39">'Div 2'!$T$32:$T$41</definedName>
    <definedName name="OSRRefT22_1x_0" localSheetId="47">'Div 3'!$T$71:$T$80</definedName>
    <definedName name="OSRRefT22_1x_0" localSheetId="68">'Div 4'!$T$42:$T$51</definedName>
    <definedName name="OSRRefT22_1x_0" localSheetId="88">'Div 5'!$T$32:$T$41</definedName>
    <definedName name="OSRRefT22_1x_0" localSheetId="61">'Div 6'!$T$46:$T$55</definedName>
    <definedName name="OSRRefT22_1x_0" localSheetId="2">Summary!$T$79:$T$88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69">'310 &amp; 491'!$T$108</definedName>
    <definedName name="OSRRefT22_20x_0" localSheetId="56">'331'!$T$112</definedName>
    <definedName name="OSRRefT22_20x_0" localSheetId="54">'333'!$T$117</definedName>
    <definedName name="OSRRefT22_20x_0" localSheetId="70">'491'!$T$106</definedName>
    <definedName name="OSRRefT22_20x_0" localSheetId="47">'Div 3'!$T$131:$T$132</definedName>
    <definedName name="OSRRefT22_20x_0" localSheetId="68">'Div 4'!$T$109</definedName>
    <definedName name="OSRRefT22_20x_0" localSheetId="2">Summary!$T$137:$T$141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'301'!$T$92:$T$93</definedName>
    <definedName name="OSRRefT22_21x_0" localSheetId="56">'331'!$T$114:$T$115</definedName>
    <definedName name="OSRRefT22_21x_0" localSheetId="54">'333'!$T$119:$T$120</definedName>
    <definedName name="OSRRefT22_21x_0" localSheetId="47">'Div 3'!$T$134:$T$140</definedName>
    <definedName name="OSRRefT22_21x_0" localSheetId="68">'Div 4'!$T$111:$T$112</definedName>
    <definedName name="OSRRefT22_21x_0" localSheetId="2">Summary!$T$143:$T$144</definedName>
    <definedName name="OSRRefT22_22x_0" localSheetId="48">'300'!$T$136</definedName>
    <definedName name="OSRRefT22_22x_0" localSheetId="49">'300 &amp; 317'!$T$142</definedName>
    <definedName name="OSRRefT22_22x_0" localSheetId="50">'301'!$T$95</definedName>
    <definedName name="OSRRefT22_22x_0" localSheetId="56">'331'!$T$117</definedName>
    <definedName name="OSRRefT22_22x_0" localSheetId="54">'333'!$T$122</definedName>
    <definedName name="OSRRefT22_22x_0" localSheetId="47">'Div 3'!$T$142:$T$143</definedName>
    <definedName name="OSRRefT22_22x_0" localSheetId="68">'Div 4'!$T$114</definedName>
    <definedName name="OSRRefT22_22x_0" localSheetId="2">Summary!$T$146:$T$155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3'!$T$145</definedName>
    <definedName name="OSRRefT22_23x_0" localSheetId="2">Summary!$T$157:$T$158</definedName>
    <definedName name="OSRRefT22_24x_0" localSheetId="48">'300'!$T$142</definedName>
    <definedName name="OSRRefT22_24x_0" localSheetId="49">'300 &amp; 317'!$T$148</definedName>
    <definedName name="OSRRefT22_24x_0" localSheetId="47">'Div 3'!$T$147:$T$149</definedName>
    <definedName name="OSRRefT22_24x_0" localSheetId="2">Summary!$T$160</definedName>
    <definedName name="OSRRefT22_25x_0" localSheetId="47">'Div 3'!$T$151</definedName>
    <definedName name="OSRRefT22_25x_0" localSheetId="2">Summary!$T$162:$T$164</definedName>
    <definedName name="OSRRefT22_26x_0" localSheetId="2">Summary!$T$166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5">'307'!$T$55</definedName>
    <definedName name="OSRRefT22_2x_0" localSheetId="51">'308'!$T$57</definedName>
    <definedName name="OSRRefT22_2x_0" localSheetId="64">'309'!$T$32</definedName>
    <definedName name="OSRRefT22_2x_0" localSheetId="63">'310'!$T$51</definedName>
    <definedName name="OSRRefT22_2x_0" localSheetId="69">'310 &amp; 491'!$T$51</definedName>
    <definedName name="OSRRefT22_2x_0" localSheetId="52">'311'!$T$57</definedName>
    <definedName name="OSRRefT22_2x_0" localSheetId="57">'315'!$T$65</definedName>
    <definedName name="OSRRefT22_2x_0" localSheetId="60">'316'!$T$48</definedName>
    <definedName name="OSRRefT22_2x_0" localSheetId="62">'317'!$T$57</definedName>
    <definedName name="OSRRefT22_2x_0" localSheetId="65">'321'!$T$46</definedName>
    <definedName name="OSRRefT22_2x_0" localSheetId="66">'325'!$T$46</definedName>
    <definedName name="OSRRefT22_2x_0" localSheetId="58">'326'!$T$49</definedName>
    <definedName name="OSRRefT22_2x_0" localSheetId="56">'331'!$T$65</definedName>
    <definedName name="OSRRefT22_2x_0" localSheetId="59">'332'!$T$48</definedName>
    <definedName name="OSRRefT22_2x_0" localSheetId="54">'333'!$T$67</definedName>
    <definedName name="OSRRefT22_2x_0" localSheetId="71">'405'!$T$48</definedName>
    <definedName name="OSRRefT22_2x_0" localSheetId="73">'411'!$T$41</definedName>
    <definedName name="OSRRefT22_2x_0" localSheetId="74">'412'!$T$24</definedName>
    <definedName name="OSRRefT22_2x_0" localSheetId="75">'413'!$T$24</definedName>
    <definedName name="OSRRefT22_2x_0" localSheetId="76">'414'!$T$24</definedName>
    <definedName name="OSRRefT22_2x_0" localSheetId="77">'415'!$T$49</definedName>
    <definedName name="OSRRefT22_2x_0" localSheetId="78">'418'!$T$45</definedName>
    <definedName name="OSRRefT22_2x_0" localSheetId="79">'423'!$T$40</definedName>
    <definedName name="OSRRefT22_2x_0" localSheetId="80">'424'!$T$24</definedName>
    <definedName name="OSRRefT22_2x_0" localSheetId="81">'425'!$T$26</definedName>
    <definedName name="OSRRefT22_2x_0" localSheetId="83">'430'!$T$41</definedName>
    <definedName name="OSRRefT22_2x_0" localSheetId="84">'433'!$T$49</definedName>
    <definedName name="OSRRefT22_2x_0" localSheetId="85">'435'!$T$28</definedName>
    <definedName name="OSRRefT22_2x_0" localSheetId="86">'444'!$T$49</definedName>
    <definedName name="OSRRefT22_2x_0" localSheetId="87">'450'!$T$49</definedName>
    <definedName name="OSRRefT22_2x_0" localSheetId="70">'491'!$T$50</definedName>
    <definedName name="OSRRefT22_2x_0" localSheetId="82">'492'!$T$51</definedName>
    <definedName name="OSRRefT22_2x_0" localSheetId="89">'501'!$T$43</definedName>
    <definedName name="OSRRefT22_2x_0" localSheetId="39">'Div 2'!$T$43</definedName>
    <definedName name="OSRRefT22_2x_0" localSheetId="47">'Div 3'!$T$82</definedName>
    <definedName name="OSRRefT22_2x_0" localSheetId="68">'Div 4'!$T$53</definedName>
    <definedName name="OSRRefT22_2x_0" localSheetId="88">'Div 5'!$T$43</definedName>
    <definedName name="OSRRefT22_2x_0" localSheetId="61">'Div 6'!$T$57</definedName>
    <definedName name="OSRRefT22_2x_0" localSheetId="2">Summary!$T$90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5">'307'!$T$57</definedName>
    <definedName name="OSRRefT22_3x_0" localSheetId="51">'308'!$T$59</definedName>
    <definedName name="OSRRefT22_3x_0" localSheetId="64">'309'!$T$34</definedName>
    <definedName name="OSRRefT22_3x_0" localSheetId="63">'310'!$T$53</definedName>
    <definedName name="OSRRefT22_3x_0" localSheetId="69">'310 &amp; 491'!$T$53</definedName>
    <definedName name="OSRRefT22_3x_0" localSheetId="52">'311'!$T$59</definedName>
    <definedName name="OSRRefT22_3x_0" localSheetId="57">'315'!$T$67</definedName>
    <definedName name="OSRRefT22_3x_0" localSheetId="60">'316'!$T$50</definedName>
    <definedName name="OSRRefT22_3x_0" localSheetId="62">'317'!$T$59</definedName>
    <definedName name="OSRRefT22_3x_0" localSheetId="65">'321'!$T$48</definedName>
    <definedName name="OSRRefT22_3x_0" localSheetId="66">'325'!$T$48</definedName>
    <definedName name="OSRRefT22_3x_0" localSheetId="58">'326'!$T$51</definedName>
    <definedName name="OSRRefT22_3x_0" localSheetId="56">'331'!$T$67</definedName>
    <definedName name="OSRRefT22_3x_0" localSheetId="59">'332'!$T$50</definedName>
    <definedName name="OSRRefT22_3x_0" localSheetId="54">'333'!$T$69</definedName>
    <definedName name="OSRRefT22_3x_0" localSheetId="71">'405'!$T$50</definedName>
    <definedName name="OSRRefT22_3x_0" localSheetId="73">'411'!$T$43:$T$44</definedName>
    <definedName name="OSRRefT22_3x_0" localSheetId="74">'412'!$T$26</definedName>
    <definedName name="OSRRefT22_3x_0" localSheetId="77">'415'!$T$51</definedName>
    <definedName name="OSRRefT22_3x_0" localSheetId="78">'418'!$T$47</definedName>
    <definedName name="OSRRefT22_3x_0" localSheetId="79">'423'!$T$42</definedName>
    <definedName name="OSRRefT22_3x_0" localSheetId="81">'425'!$T$28</definedName>
    <definedName name="OSRRefT22_3x_0" localSheetId="83">'430'!$T$43</definedName>
    <definedName name="OSRRefT22_3x_0" localSheetId="84">'433'!$T$51</definedName>
    <definedName name="OSRRefT22_3x_0" localSheetId="85">'435'!$T$30</definedName>
    <definedName name="OSRRefT22_3x_0" localSheetId="86">'444'!$T$51</definedName>
    <definedName name="OSRRefT22_3x_0" localSheetId="87">'450'!$T$51</definedName>
    <definedName name="OSRRefT22_3x_0" localSheetId="70">'491'!$T$52</definedName>
    <definedName name="OSRRefT22_3x_0" localSheetId="82">'492'!$T$53</definedName>
    <definedName name="OSRRefT22_3x_0" localSheetId="89">'501'!$T$45</definedName>
    <definedName name="OSRRefT22_3x_0" localSheetId="39">'Div 2'!$T$45</definedName>
    <definedName name="OSRRefT22_3x_0" localSheetId="47">'Div 3'!$T$84</definedName>
    <definedName name="OSRRefT22_3x_0" localSheetId="68">'Div 4'!$T$55</definedName>
    <definedName name="OSRRefT22_3x_0" localSheetId="88">'Div 5'!$T$45</definedName>
    <definedName name="OSRRefT22_3x_0" localSheetId="61">'Div 6'!$T$59</definedName>
    <definedName name="OSRRefT22_3x_0" localSheetId="2">Summary!$T$92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'205'!$T$45:$T$47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5">'307'!$T$59</definedName>
    <definedName name="OSRRefT22_4x_0" localSheetId="51">'308'!$T$61</definedName>
    <definedName name="OSRRefT22_4x_0" localSheetId="64">'309'!$T$36</definedName>
    <definedName name="OSRRefT22_4x_0" localSheetId="63">'310'!$T$55</definedName>
    <definedName name="OSRRefT22_4x_0" localSheetId="69">'310 &amp; 491'!$T$55</definedName>
    <definedName name="OSRRefT22_4x_0" localSheetId="52">'311'!$T$61</definedName>
    <definedName name="OSRRefT22_4x_0" localSheetId="57">'315'!$T$69</definedName>
    <definedName name="OSRRefT22_4x_0" localSheetId="60">'316'!$T$52</definedName>
    <definedName name="OSRRefT22_4x_0" localSheetId="62">'317'!$T$61</definedName>
    <definedName name="OSRRefT22_4x_0" localSheetId="65">'321'!$T$50</definedName>
    <definedName name="OSRRefT22_4x_0" localSheetId="66">'325'!$T$50</definedName>
    <definedName name="OSRRefT22_4x_0" localSheetId="58">'326'!$T$53</definedName>
    <definedName name="OSRRefT22_4x_0" localSheetId="56">'331'!$T$69</definedName>
    <definedName name="OSRRefT22_4x_0" localSheetId="59">'332'!$T$52</definedName>
    <definedName name="OSRRefT22_4x_0" localSheetId="54">'333'!$T$71</definedName>
    <definedName name="OSRRefT22_4x_0" localSheetId="71">'405'!$T$52</definedName>
    <definedName name="OSRRefT22_4x_0" localSheetId="73">'411'!$T$46</definedName>
    <definedName name="OSRRefT22_4x_0" localSheetId="74">'412'!$T$28</definedName>
    <definedName name="OSRRefT22_4x_0" localSheetId="77">'415'!$T$53</definedName>
    <definedName name="OSRRefT22_4x_0" localSheetId="78">'418'!$T$49:$T$50</definedName>
    <definedName name="OSRRefT22_4x_0" localSheetId="79">'423'!$T$44</definedName>
    <definedName name="OSRRefT22_4x_0" localSheetId="81">'425'!$T$30</definedName>
    <definedName name="OSRRefT22_4x_0" localSheetId="83">'430'!$T$45</definedName>
    <definedName name="OSRRefT22_4x_0" localSheetId="84">'433'!$T$53</definedName>
    <definedName name="OSRRefT22_4x_0" localSheetId="85">'435'!$T$32</definedName>
    <definedName name="OSRRefT22_4x_0" localSheetId="86">'444'!$T$53</definedName>
    <definedName name="OSRRefT22_4x_0" localSheetId="87">'450'!$T$53</definedName>
    <definedName name="OSRRefT22_4x_0" localSheetId="70">'491'!$T$54</definedName>
    <definedName name="OSRRefT22_4x_0" localSheetId="82">'492'!$T$55</definedName>
    <definedName name="OSRRefT22_4x_0" localSheetId="89">'501'!$T$47</definedName>
    <definedName name="OSRRefT22_4x_0" localSheetId="39">'Div 2'!$T$47</definedName>
    <definedName name="OSRRefT22_4x_0" localSheetId="47">'Div 3'!$T$86</definedName>
    <definedName name="OSRRefT22_4x_0" localSheetId="68">'Div 4'!$T$57</definedName>
    <definedName name="OSRRefT22_4x_0" localSheetId="88">'Div 5'!$T$47</definedName>
    <definedName name="OSRRefT22_4x_0" localSheetId="61">'Div 6'!$T$61</definedName>
    <definedName name="OSRRefT22_4x_0" localSheetId="2">Summary!$T$94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'205'!$T$49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5">'307'!$T$61:$T$62</definedName>
    <definedName name="OSRRefT22_5x_0" localSheetId="51">'308'!$T$63</definedName>
    <definedName name="OSRRefT22_5x_0" localSheetId="64">'309'!$T$38</definedName>
    <definedName name="OSRRefT22_5x_0" localSheetId="63">'310'!$T$57:$T$58</definedName>
    <definedName name="OSRRefT22_5x_0" localSheetId="69">'310 &amp; 491'!$T$57:$T$58</definedName>
    <definedName name="OSRRefT22_5x_0" localSheetId="52">'311'!$T$63</definedName>
    <definedName name="OSRRefT22_5x_0" localSheetId="57">'315'!$T$71</definedName>
    <definedName name="OSRRefT22_5x_0" localSheetId="60">'316'!$T$54:$T$55</definedName>
    <definedName name="OSRRefT22_5x_0" localSheetId="62">'317'!$T$63</definedName>
    <definedName name="OSRRefT22_5x_0" localSheetId="65">'321'!$T$52</definedName>
    <definedName name="OSRRefT22_5x_0" localSheetId="66">'325'!$T$52:$T$53</definedName>
    <definedName name="OSRRefT22_5x_0" localSheetId="58">'326'!$T$55</definedName>
    <definedName name="OSRRefT22_5x_0" localSheetId="56">'331'!$T$71</definedName>
    <definedName name="OSRRefT22_5x_0" localSheetId="59">'332'!$T$54:$T$55</definedName>
    <definedName name="OSRRefT22_5x_0" localSheetId="54">'333'!$T$73:$T$74</definedName>
    <definedName name="OSRRefT22_5x_0" localSheetId="71">'405'!$T$54:$T$55</definedName>
    <definedName name="OSRRefT22_5x_0" localSheetId="73">'411'!$T$48</definedName>
    <definedName name="OSRRefT22_5x_0" localSheetId="77">'415'!$T$55:$T$56</definedName>
    <definedName name="OSRRefT22_5x_0" localSheetId="78">'418'!$T$52</definedName>
    <definedName name="OSRRefT22_5x_0" localSheetId="79">'423'!$T$46</definedName>
    <definedName name="OSRRefT22_5x_0" localSheetId="81">'425'!$T$32</definedName>
    <definedName name="OSRRefT22_5x_0" localSheetId="83">'430'!$T$47:$T$48</definedName>
    <definedName name="OSRRefT22_5x_0" localSheetId="84">'433'!$T$55</definedName>
    <definedName name="OSRRefT22_5x_0" localSheetId="86">'444'!$T$55</definedName>
    <definedName name="OSRRefT22_5x_0" localSheetId="87">'450'!$T$55</definedName>
    <definedName name="OSRRefT22_5x_0" localSheetId="70">'491'!$T$56:$T$57</definedName>
    <definedName name="OSRRefT22_5x_0" localSheetId="82">'492'!$T$57</definedName>
    <definedName name="OSRRefT22_5x_0" localSheetId="89">'501'!$T$49:$T$50</definedName>
    <definedName name="OSRRefT22_5x_0" localSheetId="39">'Div 2'!$T$49:$T$50</definedName>
    <definedName name="OSRRefT22_5x_0" localSheetId="47">'Div 3'!$T$88:$T$89</definedName>
    <definedName name="OSRRefT22_5x_0" localSheetId="68">'Div 4'!$T$59:$T$60</definedName>
    <definedName name="OSRRefT22_5x_0" localSheetId="88">'Div 5'!$T$49:$T$50</definedName>
    <definedName name="OSRRefT22_5x_0" localSheetId="61">'Div 6'!$T$63</definedName>
    <definedName name="OSRRefT22_5x_0" localSheetId="2">Summary!$T$96:$T$97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'204'!$T$53:$T$54</definedName>
    <definedName name="OSRRefT22_6x_0" localSheetId="45">'205'!$T$51:$T$53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5">'307'!$T$64</definedName>
    <definedName name="OSRRefT22_6x_0" localSheetId="51">'308'!$T$65:$T$66</definedName>
    <definedName name="OSRRefT22_6x_0" localSheetId="64">'309'!$T$40</definedName>
    <definedName name="OSRRefT22_6x_0" localSheetId="63">'310'!$T$60</definedName>
    <definedName name="OSRRefT22_6x_0" localSheetId="69">'310 &amp; 491'!$T$60</definedName>
    <definedName name="OSRRefT22_6x_0" localSheetId="52">'311'!$T$65:$T$66</definedName>
    <definedName name="OSRRefT22_6x_0" localSheetId="57">'315'!$T$73</definedName>
    <definedName name="OSRRefT22_6x_0" localSheetId="60">'316'!$T$57</definedName>
    <definedName name="OSRRefT22_6x_0" localSheetId="62">'317'!$T$65</definedName>
    <definedName name="OSRRefT22_6x_0" localSheetId="65">'321'!$T$54</definedName>
    <definedName name="OSRRefT22_6x_0" localSheetId="66">'325'!$T$55</definedName>
    <definedName name="OSRRefT22_6x_0" localSheetId="58">'326'!$T$57:$T$58</definedName>
    <definedName name="OSRRefT22_6x_0" localSheetId="56">'331'!$T$73</definedName>
    <definedName name="OSRRefT22_6x_0" localSheetId="59">'332'!$T$57</definedName>
    <definedName name="OSRRefT22_6x_0" localSheetId="54">'333'!$T$76</definedName>
    <definedName name="OSRRefT22_6x_0" localSheetId="71">'405'!$T$57</definedName>
    <definedName name="OSRRefT22_6x_0" localSheetId="73">'411'!$T$50</definedName>
    <definedName name="OSRRefT22_6x_0" localSheetId="77">'415'!$T$58</definedName>
    <definedName name="OSRRefT22_6x_0" localSheetId="78">'418'!$T$54</definedName>
    <definedName name="OSRRefT22_6x_0" localSheetId="83">'430'!$T$50:$T$51</definedName>
    <definedName name="OSRRefT22_6x_0" localSheetId="84">'433'!$T$57</definedName>
    <definedName name="OSRRefT22_6x_0" localSheetId="86">'444'!$T$57</definedName>
    <definedName name="OSRRefT22_6x_0" localSheetId="87">'450'!$T$57</definedName>
    <definedName name="OSRRefT22_6x_0" localSheetId="70">'491'!$T$59</definedName>
    <definedName name="OSRRefT22_6x_0" localSheetId="82">'492'!$T$59</definedName>
    <definedName name="OSRRefT22_6x_0" localSheetId="89">'501'!$T$52</definedName>
    <definedName name="OSRRefT22_6x_0" localSheetId="39">'Div 2'!$T$52</definedName>
    <definedName name="OSRRefT22_6x_0" localSheetId="47">'Div 3'!$T$91:$T$92</definedName>
    <definedName name="OSRRefT22_6x_0" localSheetId="68">'Div 4'!$T$62</definedName>
    <definedName name="OSRRefT22_6x_0" localSheetId="88">'Div 5'!$T$52</definedName>
    <definedName name="OSRRefT22_6x_0" localSheetId="61">'Div 6'!$T$65</definedName>
    <definedName name="OSRRefT22_6x_0" localSheetId="2">Summary!$T$99:$T$100</definedName>
    <definedName name="OSRRefT22_7x_0" localSheetId="41">'201'!$T$51</definedName>
    <definedName name="OSRRefT22_7x_0" localSheetId="42">'202'!$T$51:$T$53</definedName>
    <definedName name="OSRRefT22_7x_0" localSheetId="43">'203'!$T$52</definedName>
    <definedName name="OSRRefT22_7x_0" localSheetId="44">'204'!$T$56</definedName>
    <definedName name="OSRRefT22_7x_0" localSheetId="45">'205'!$T$55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5">'307'!$T$66</definedName>
    <definedName name="OSRRefT22_7x_0" localSheetId="51">'308'!$T$68</definedName>
    <definedName name="OSRRefT22_7x_0" localSheetId="64">'309'!$T$42</definedName>
    <definedName name="OSRRefT22_7x_0" localSheetId="63">'310'!$T$62</definedName>
    <definedName name="OSRRefT22_7x_0" localSheetId="69">'310 &amp; 491'!$T$62</definedName>
    <definedName name="OSRRefT22_7x_0" localSheetId="52">'311'!$T$68</definedName>
    <definedName name="OSRRefT22_7x_0" localSheetId="57">'315'!$T$75</definedName>
    <definedName name="OSRRefT22_7x_0" localSheetId="60">'316'!$T$59:$T$61</definedName>
    <definedName name="OSRRefT22_7x_0" localSheetId="62">'317'!$T$67</definedName>
    <definedName name="OSRRefT22_7x_0" localSheetId="65">'321'!$T$56:$T$57</definedName>
    <definedName name="OSRRefT22_7x_0" localSheetId="66">'325'!$T$57</definedName>
    <definedName name="OSRRefT22_7x_0" localSheetId="58">'326'!$T$60</definedName>
    <definedName name="OSRRefT22_7x_0" localSheetId="56">'331'!$T$75</definedName>
    <definedName name="OSRRefT22_7x_0" localSheetId="59">'332'!$T$59:$T$61</definedName>
    <definedName name="OSRRefT22_7x_0" localSheetId="54">'333'!$T$78</definedName>
    <definedName name="OSRRefT22_7x_0" localSheetId="71">'405'!$T$59</definedName>
    <definedName name="OSRRefT22_7x_0" localSheetId="73">'411'!$T$52</definedName>
    <definedName name="OSRRefT22_7x_0" localSheetId="77">'415'!$T$60</definedName>
    <definedName name="OSRRefT22_7x_0" localSheetId="78">'418'!$T$56:$T$57</definedName>
    <definedName name="OSRRefT22_7x_0" localSheetId="83">'430'!$T$53</definedName>
    <definedName name="OSRRefT22_7x_0" localSheetId="84">'433'!$T$59</definedName>
    <definedName name="OSRRefT22_7x_0" localSheetId="86">'444'!$T$59</definedName>
    <definedName name="OSRRefT22_7x_0" localSheetId="87">'450'!$T$59</definedName>
    <definedName name="OSRRefT22_7x_0" localSheetId="70">'491'!$T$61</definedName>
    <definedName name="OSRRefT22_7x_0" localSheetId="82">'492'!$T$61</definedName>
    <definedName name="OSRRefT22_7x_0" localSheetId="89">'501'!$T$54</definedName>
    <definedName name="OSRRefT22_7x_0" localSheetId="39">'Div 2'!$T$54</definedName>
    <definedName name="OSRRefT22_7x_0" localSheetId="47">'Div 3'!$T$94</definedName>
    <definedName name="OSRRefT22_7x_0" localSheetId="68">'Div 4'!$T$64</definedName>
    <definedName name="OSRRefT22_7x_0" localSheetId="88">'Div 5'!$T$54</definedName>
    <definedName name="OSRRefT22_7x_0" localSheetId="61">'Div 6'!$T$67</definedName>
    <definedName name="OSRRefT22_7x_0" localSheetId="2">Summary!$T$102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4">'204'!$T$58:$T$59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5">'307'!$T$68</definedName>
    <definedName name="OSRRefT22_8x_0" localSheetId="51">'308'!$T$70</definedName>
    <definedName name="OSRRefT22_8x_0" localSheetId="64">'309'!$T$44:$T$45</definedName>
    <definedName name="OSRRefT22_8x_0" localSheetId="63">'310'!$T$64</definedName>
    <definedName name="OSRRefT22_8x_0" localSheetId="69">'310 &amp; 491'!$T$64:$T$65</definedName>
    <definedName name="OSRRefT22_8x_0" localSheetId="52">'311'!$T$70</definedName>
    <definedName name="OSRRefT22_8x_0" localSheetId="57">'315'!$T$77:$T$78</definedName>
    <definedName name="OSRRefT22_8x_0" localSheetId="60">'316'!$T$63</definedName>
    <definedName name="OSRRefT22_8x_0" localSheetId="62">'317'!$T$69</definedName>
    <definedName name="OSRRefT22_8x_0" localSheetId="65">'321'!$T$59:$T$60</definedName>
    <definedName name="OSRRefT22_8x_0" localSheetId="66">'325'!$T$59</definedName>
    <definedName name="OSRRefT22_8x_0" localSheetId="58">'326'!$T$62</definedName>
    <definedName name="OSRRefT22_8x_0" localSheetId="56">'331'!$T$77:$T$78</definedName>
    <definedName name="OSRRefT22_8x_0" localSheetId="59">'332'!$T$63</definedName>
    <definedName name="OSRRefT22_8x_0" localSheetId="54">'333'!$T$80:$T$81</definedName>
    <definedName name="OSRRefT22_8x_0" localSheetId="71">'405'!$T$61</definedName>
    <definedName name="OSRRefT22_8x_0" localSheetId="73">'411'!$T$54:$T$57</definedName>
    <definedName name="OSRRefT22_8x_0" localSheetId="77">'415'!$T$62</definedName>
    <definedName name="OSRRefT22_8x_0" localSheetId="78">'418'!$T$59:$T$60</definedName>
    <definedName name="OSRRefT22_8x_0" localSheetId="83">'430'!$T$55</definedName>
    <definedName name="OSRRefT22_8x_0" localSheetId="84">'433'!$T$61</definedName>
    <definedName name="OSRRefT22_8x_0" localSheetId="86">'444'!$T$61</definedName>
    <definedName name="OSRRefT22_8x_0" localSheetId="87">'450'!$T$61</definedName>
    <definedName name="OSRRefT22_8x_0" localSheetId="70">'491'!$T$63:$T$64</definedName>
    <definedName name="OSRRefT22_8x_0" localSheetId="82">'492'!$T$63</definedName>
    <definedName name="OSRRefT22_8x_0" localSheetId="89">'501'!$T$56</definedName>
    <definedName name="OSRRefT22_8x_0" localSheetId="39">'Div 2'!$T$56</definedName>
    <definedName name="OSRRefT22_8x_0" localSheetId="47">'Div 3'!$T$96</definedName>
    <definedName name="OSRRefT22_8x_0" localSheetId="68">'Div 4'!$T$66</definedName>
    <definedName name="OSRRefT22_8x_0" localSheetId="88">'Div 5'!$T$56</definedName>
    <definedName name="OSRRefT22_8x_0" localSheetId="61">'Div 6'!$T$69</definedName>
    <definedName name="OSRRefT22_8x_0" localSheetId="2">Summary!$T$104</definedName>
    <definedName name="OSRRefT22_9x_0" localSheetId="41">'201'!$T$55:$T$57</definedName>
    <definedName name="OSRRefT22_9x_0" localSheetId="42">'202'!$T$57:$T$58</definedName>
    <definedName name="OSRRefT22_9x_0" localSheetId="43">'203'!$T$58:$T$59</definedName>
    <definedName name="OSRRefT22_9x_0" localSheetId="44">'204'!$T$61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5">'307'!$T$70:$T$71</definedName>
    <definedName name="OSRRefT22_9x_0" localSheetId="51">'308'!$T$72:$T$74</definedName>
    <definedName name="OSRRefT22_9x_0" localSheetId="64">'309'!$T$47:$T$48</definedName>
    <definedName name="OSRRefT22_9x_0" localSheetId="63">'310'!$T$66</definedName>
    <definedName name="OSRRefT22_9x_0" localSheetId="69">'310 &amp; 491'!$T$67</definedName>
    <definedName name="OSRRefT22_9x_0" localSheetId="52">'311'!$T$72:$T$74</definedName>
    <definedName name="OSRRefT22_9x_0" localSheetId="57">'315'!$T$80</definedName>
    <definedName name="OSRRefT22_9x_0" localSheetId="60">'316'!$T$65</definedName>
    <definedName name="OSRRefT22_9x_0" localSheetId="62">'317'!$T$71:$T$72</definedName>
    <definedName name="OSRRefT22_9x_0" localSheetId="65">'321'!$T$62:$T$64</definedName>
    <definedName name="OSRRefT22_9x_0" localSheetId="66">'325'!$T$61</definedName>
    <definedName name="OSRRefT22_9x_0" localSheetId="58">'326'!$T$64</definedName>
    <definedName name="OSRRefT22_9x_0" localSheetId="56">'331'!$T$80:$T$81</definedName>
    <definedName name="OSRRefT22_9x_0" localSheetId="59">'332'!$T$65</definedName>
    <definedName name="OSRRefT22_9x_0" localSheetId="54">'333'!$T$83:$T$84</definedName>
    <definedName name="OSRRefT22_9x_0" localSheetId="71">'405'!$T$63:$T$64</definedName>
    <definedName name="OSRRefT22_9x_0" localSheetId="73">'411'!$T$59:$T$61</definedName>
    <definedName name="OSRRefT22_9x_0" localSheetId="77">'415'!$T$64</definedName>
    <definedName name="OSRRefT22_9x_0" localSheetId="78">'418'!$T$62:$T$65</definedName>
    <definedName name="OSRRefT22_9x_0" localSheetId="84">'433'!$T$63</definedName>
    <definedName name="OSRRefT22_9x_0" localSheetId="86">'444'!$T$63</definedName>
    <definedName name="OSRRefT22_9x_0" localSheetId="87">'450'!$T$63</definedName>
    <definedName name="OSRRefT22_9x_0" localSheetId="70">'491'!$T$66</definedName>
    <definedName name="OSRRefT22_9x_0" localSheetId="82">'492'!$T$65</definedName>
    <definedName name="OSRRefT22_9x_0" localSheetId="89">'501'!$T$58:$T$60</definedName>
    <definedName name="OSRRefT22_9x_0" localSheetId="39">'Div 2'!$T$58</definedName>
    <definedName name="OSRRefT22_9x_0" localSheetId="47">'Div 3'!$T$98</definedName>
    <definedName name="OSRRefT22_9x_0" localSheetId="68">'Div 4'!$T$68:$T$69</definedName>
    <definedName name="OSRRefT22_9x_0" localSheetId="88">'Div 5'!$T$58:$T$60</definedName>
    <definedName name="OSRRefT22_9x_0" localSheetId="61">'Div 6'!$T$71:$T$72</definedName>
    <definedName name="OSRRefT22_9x_0" localSheetId="2">Summary!$T$106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'201'!$T$20:$T$28,'201'!$T$30:$T$39,'201'!$T$41,'201'!$T$43,'201'!$T$45,'201'!$T$47,'201'!$T$49,'201'!$T$51,'201'!$T$53,'201'!$T$55:$T$57,'201'!$T$59:$T$60,'201'!$T$62,'201'!$T$64:$T$65,'201'!$T$67,'201'!$T$69,'201'!$T$71</definedName>
    <definedName name="OSRRefT22x_0" localSheetId="42">'202'!$T$20:$T$28,'202'!$T$30:$T$39,'202'!$T$41,'202'!$T$43,'202'!$T$45,'202'!$T$47,'202'!$T$49,'202'!$T$51:$T$53,'202'!$T$55,'202'!$T$57:$T$58,'202'!$T$60,'202'!$T$62,'202'!$T$64</definedName>
    <definedName name="OSRRefT22x_0" localSheetId="43">'203'!$T$20:$T$29,'203'!$T$31:$T$40,'203'!$T$42,'203'!$T$44,'203'!$T$46,'203'!$T$48,'203'!$T$50,'203'!$T$52,'203'!$T$54:$T$56,'203'!$T$58:$T$59,'203'!$T$61:$T$62,'203'!$T$64:$T$67,'203'!$T$69,'203'!$T$71,'203'!$T$73</definedName>
    <definedName name="OSRRefT22x_0" localSheetId="44">'204'!$T$20:$T$28,'204'!$T$30:$T$39,'204'!$T$41,'204'!$T$43:$T$44,'204'!$T$46,'204'!$T$48:$T$51,'204'!$T$53:$T$54,'204'!$T$56,'204'!$T$58:$T$59,'204'!$T$61,'204'!$T$63</definedName>
    <definedName name="OSRRefT22x_0" localSheetId="45">'205'!$T$20:$T$28,'205'!$T$30:$T$39,'205'!$T$41,'205'!$T$43,'205'!$T$45:$T$47,'205'!$T$49,'205'!$T$51:$T$53,'205'!$T$55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$93,'301'!$T$95</definedName>
    <definedName name="OSRRefT22x_0" localSheetId="55">'307'!$T$34:$T$42,'307'!$T$44:$T$53,'307'!$T$55,'307'!$T$57,'307'!$T$59,'307'!$T$61:$T$62,'307'!$T$64,'307'!$T$66,'307'!$T$68,'307'!$T$70:$T$71,'307'!$T$73:$T$74,'307'!$T$76,'307'!$T$78:$T$81,'307'!$T$83</definedName>
    <definedName name="OSRRefT22x_0" localSheetId="51">'308'!$T$35:$T$44,'308'!$T$46:$T$55,'308'!$T$57,'308'!$T$59,'308'!$T$61,'308'!$T$63,'308'!$T$65:$T$66,'308'!$T$68,'308'!$T$70,'308'!$T$72:$T$74,'308'!$T$76:$T$77,'308'!$T$79:$T$80,'308'!$T$82:$T$83,'308'!$T$85</definedName>
    <definedName name="OSRRefT22x_0" localSheetId="64">'309'!$T$26:$T$27,'309'!$T$29:$T$30,'309'!$T$32,'309'!$T$34,'309'!$T$36,'309'!$T$38,'309'!$T$40,'309'!$T$42,'309'!$T$44:$T$45,'309'!$T$47:$T$48,'309'!$T$50:$T$51,'309'!$T$53,'309'!$T$55</definedName>
    <definedName name="OSRRefT22x_0" localSheetId="63">'310'!$T$29:$T$38,'310'!$T$40:$T$49,'310'!$T$51,'310'!$T$53,'310'!$T$55,'310'!$T$57:$T$58,'310'!$T$60,'310'!$T$62,'310'!$T$64,'310'!$T$66,'310'!$T$68,'310'!$T$70:$T$72,'310'!$T$74:$T$75,'310'!$T$77:$T$79,'310'!$T$81:$T$86,'310'!$T$88:$T$89,'310'!$T$91,'310'!$T$93</definedName>
    <definedName name="OSRRefT22x_0" localSheetId="69">'310 &amp; 491'!$T$29:$T$38,'310 &amp; 491'!$T$40:$T$49,'310 &amp; 491'!$T$51,'310 &amp; 491'!$T$53,'310 &amp; 491'!$T$55,'310 &amp; 491'!$T$57:$T$58,'310 &amp; 491'!$T$60,'310 &amp; 491'!$T$62,'310 &amp; 491'!$T$64:$T$65,'310 &amp; 491'!$T$67,'310 &amp; 491'!$T$69,'310 &amp; 491'!$T$71,'310 &amp; 491'!$T$73:$T$76,'310 &amp; 491'!$T$78:$T$79,'310 &amp; 491'!$T$81:$T$85,'310 &amp; 491'!$T$87,'310 &amp; 491'!$T$89:$T$98,'310 &amp; 491'!$T$100:$T$101,'310 &amp; 491'!$T$103,'310 &amp; 491'!$T$105:$T$106,'310 &amp; 491'!$T$108</definedName>
    <definedName name="OSRRefT22x_0" localSheetId="52">'311'!$T$35:$T$44,'311'!$T$46:$T$55,'311'!$T$57,'311'!$T$59,'311'!$T$61,'311'!$T$63,'311'!$T$65:$T$66,'311'!$T$68,'311'!$T$70,'311'!$T$72:$T$74,'311'!$T$76:$T$77,'311'!$T$79:$T$80,'311'!$T$82:$T$83,'311'!$T$85</definedName>
    <definedName name="OSRRefT22x_0" localSheetId="57">'315'!$T$44:$T$52,'315'!$T$54:$T$63,'315'!$T$65,'315'!$T$67,'315'!$T$69,'315'!$T$71,'315'!$T$73,'315'!$T$75,'315'!$T$77:$T$78,'315'!$T$80,'315'!$T$82,'315'!$T$84,'315'!$T$86:$T$87,'315'!$T$89:$T$91,'315'!$T$93:$T$94,'315'!$T$96:$T$99,'315'!$T$101,'315'!$T$103,'315'!$T$105</definedName>
    <definedName name="OSRRefT22x_0" localSheetId="60">'316'!$T$27:$T$35,'316'!$T$37:$T$46,'316'!$T$48,'316'!$T$50,'316'!$T$52,'316'!$T$54:$T$55,'316'!$T$57,'316'!$T$59:$T$61,'316'!$T$63,'316'!$T$65,'316'!$T$67:$T$71,'316'!$T$73</definedName>
    <definedName name="OSRRefT22x_0" localSheetId="62">'317'!$T$35:$T$44,'317'!$T$46:$T$55,'317'!$T$57,'317'!$T$59,'317'!$T$61,'317'!$T$63,'317'!$T$65,'317'!$T$67,'317'!$T$69,'317'!$T$71:$T$72,'317'!$T$74</definedName>
    <definedName name="OSRRefT22x_0" localSheetId="65">'321'!$T$24:$T$33,'321'!$T$35:$T$44,'321'!$T$46,'321'!$T$48,'321'!$T$50,'321'!$T$52,'321'!$T$54,'321'!$T$56:$T$57,'321'!$T$59:$T$60,'321'!$T$62:$T$64,'321'!$T$66:$T$69,'321'!$T$71,'321'!$T$73</definedName>
    <definedName name="OSRRefT22x_0" localSheetId="66">'325'!$T$25:$T$33,'325'!$T$35:$T$44,'325'!$T$46,'325'!$T$48,'325'!$T$50,'325'!$T$52:$T$53,'325'!$T$55,'325'!$T$57,'325'!$T$59,'325'!$T$61,'325'!$T$63,'325'!$T$65:$T$67,'325'!$T$69:$T$71,'325'!$T$73:$T$78,'325'!$T$80:$T$81,'325'!$T$83,'325'!$T$85</definedName>
    <definedName name="OSRRefT22x_0" localSheetId="58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7">'327'!$T$26,'327'!$T$28</definedName>
    <definedName name="OSRRefT22x_0" localSheetId="56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,'331'!$T$114:$T$115,'331'!$T$117</definedName>
    <definedName name="OSRRefT22x_0" localSheetId="59">'332'!$T$27:$T$35,'332'!$T$37:$T$46,'332'!$T$48,'332'!$T$50,'332'!$T$52,'332'!$T$54:$T$55,'332'!$T$57,'332'!$T$59:$T$61,'332'!$T$63,'332'!$T$65,'332'!$T$67:$T$71,'332'!$T$73</definedName>
    <definedName name="OSRRefT22x_0" localSheetId="54">'333'!$T$46:$T$54,'333'!$T$56:$T$65,'333'!$T$67,'333'!$T$69,'333'!$T$71,'333'!$T$73:$T$74,'333'!$T$76,'333'!$T$78,'333'!$T$80:$T$81,'333'!$T$83:$T$84,'333'!$T$86,'333'!$T$88,'333'!$T$90,'333'!$T$92,'333'!$T$94:$T$95,'333'!$T$97:$T$99,'333'!$T$101:$T$103,'333'!$T$105:$T$106,'333'!$T$108:$T$113,'333'!$T$115,'333'!$T$117,'333'!$T$119:$T$120,'333'!$T$122</definedName>
    <definedName name="OSRRefT22x_0" localSheetId="71">'405'!$T$27:$T$35,'405'!$T$37:$T$46,'405'!$T$48,'405'!$T$50,'405'!$T$52,'405'!$T$54:$T$55,'405'!$T$57,'405'!$T$59,'405'!$T$61,'405'!$T$63:$T$64,'405'!$T$66:$T$69,'405'!$T$71,'405'!$T$73:$T$81,'405'!$T$83,'405'!$T$85,'405'!$T$87,'405'!$T$89</definedName>
    <definedName name="OSRRefT22x_0" localSheetId="72">'406'!$T$20,'406'!$T$22</definedName>
    <definedName name="OSRRefT22x_0" localSheetId="73">'411'!$T$20:$T$28,'411'!$T$30:$T$39,'411'!$T$41,'411'!$T$43:$T$44,'411'!$T$46,'411'!$T$48,'411'!$T$50,'411'!$T$52,'411'!$T$54:$T$57,'411'!$T$59:$T$61,'411'!$T$63,'411'!$T$65:$T$66,'411'!$T$68,'411'!$T$70,'411'!$T$72:$T$73,'411'!$T$75</definedName>
    <definedName name="OSRRefT22x_0" localSheetId="74">'412'!$T$20,'412'!$T$22,'412'!$T$24,'412'!$T$26,'412'!$T$28</definedName>
    <definedName name="OSRRefT22x_0" localSheetId="75">'413'!$T$20,'413'!$T$22,'413'!$T$24</definedName>
    <definedName name="OSRRefT22x_0" localSheetId="76">'414'!$T$20,'414'!$T$22,'414'!$T$24</definedName>
    <definedName name="OSRRefT22x_0" localSheetId="77">'415'!$T$27:$T$36,'415'!$T$38:$T$47,'415'!$T$49,'415'!$T$51,'415'!$T$53,'415'!$T$55:$T$56,'415'!$T$58,'415'!$T$60,'415'!$T$62,'415'!$T$64,'415'!$T$66,'415'!$T$68:$T$69,'415'!$T$71:$T$74,'415'!$T$76,'415'!$T$78:$T$85,'415'!$T$87:$T$88,'415'!$T$90,'415'!$T$92</definedName>
    <definedName name="OSRRefT22x_0" localSheetId="78">'418'!$T$24:$T$32,'418'!$T$34:$T$43,'418'!$T$45,'418'!$T$47,'418'!$T$49:$T$50,'418'!$T$52,'418'!$T$54,'418'!$T$56:$T$57,'418'!$T$59:$T$60,'418'!$T$62:$T$65,'418'!$T$67,'418'!$T$69:$T$76,'418'!$T$78:$T$79,'418'!$T$81,'418'!$T$83,'418'!$T$85</definedName>
    <definedName name="OSRRefT22x_0" localSheetId="79">'423'!$T$20:$T$27,'423'!$T$29:$T$38,'423'!$T$40,'423'!$T$42,'423'!$T$44,'423'!$T$46</definedName>
    <definedName name="OSRRefT22x_0" localSheetId="80">'424'!$T$20,'424'!$T$22,'424'!$T$24</definedName>
    <definedName name="OSRRefT22x_0" localSheetId="81">'425'!$T$22,'425'!$T$24,'425'!$T$26,'425'!$T$28,'425'!$T$30,'425'!$T$32</definedName>
    <definedName name="OSRRefT22x_0" localSheetId="83">'430'!$T$20:$T$28,'430'!$T$30:$T$39,'430'!$T$41,'430'!$T$43,'430'!$T$45,'430'!$T$47:$T$48,'430'!$T$50:$T$51,'430'!$T$53,'430'!$T$55</definedName>
    <definedName name="OSRRefT22x_0" localSheetId="84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5">'435'!$T$23:$T$24,'435'!$T$26,'435'!$T$28,'435'!$T$30,'435'!$T$32</definedName>
    <definedName name="OSRRefT22x_0" localSheetId="86">'444'!$T$27:$T$36,'444'!$T$38:$T$47,'444'!$T$49,'444'!$T$51,'444'!$T$53,'444'!$T$55,'444'!$T$57,'444'!$T$59,'444'!$T$61,'444'!$T$63,'444'!$T$65,'444'!$T$67:$T$68,'444'!$T$70:$T$73,'444'!$T$75,'444'!$T$77:$T$85,'444'!$T$87,'444'!$T$89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0">'491'!$T$28:$T$37,'491'!$T$39:$T$48,'491'!$T$50,'491'!$T$52,'491'!$T$54,'491'!$T$56:$T$57,'491'!$T$59,'491'!$T$61,'491'!$T$63:$T$64,'491'!$T$66,'491'!$T$68,'491'!$T$70,'491'!$T$72:$T$75,'491'!$T$77,'491'!$T$79:$T$83,'491'!$T$85,'491'!$T$87:$T$96,'491'!$T$98:$T$99,'491'!$T$101,'491'!$T$103:$T$104,'491'!$T$106</definedName>
    <definedName name="OSRRefT22x_0" localSheetId="82">'492'!$T$29:$T$38,'492'!$T$40:$T$49,'492'!$T$51,'492'!$T$53,'492'!$T$55,'492'!$T$57,'492'!$T$59,'492'!$T$61,'492'!$T$63,'492'!$T$65,'492'!$T$67,'492'!$T$69,'492'!$T$71:$T$73,'492'!$T$75:$T$78,'492'!$T$80,'492'!$T$82:$T$90,'492'!$T$92:$T$93,'492'!$T$95,'492'!$T$97:$T$98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47">'Div 3'!$T$60:$T$69,'Div 3'!$T$71:$T$80,'Div 3'!$T$82,'Div 3'!$T$84,'Div 3'!$T$86,'Div 3'!$T$88:$T$89,'Div 3'!$T$91:$T$92,'Div 3'!$T$94,'Div 3'!$T$96,'Div 3'!$T$98,'Div 3'!$T$100:$T$101,'Div 3'!$T$103:$T$104,'Div 3'!$T$106,'Div 3'!$T$108,'Div 3'!$T$110,'Div 3'!$T$112,'Div 3'!$T$114,'Div 3'!$T$116:$T$119,'Div 3'!$T$121:$T$124,'Div 3'!$T$126:$T$129,'Div 3'!$T$131:$T$132,'Div 3'!$T$134:$T$140,'Div 3'!$T$142:$T$143,'Div 3'!$T$145,'Div 3'!$T$147:$T$149,'Div 3'!$T$151</definedName>
    <definedName name="OSRRefT22x_0" localSheetId="68">'Div 4'!$T$31:$T$40,'Div 4'!$T$42:$T$51,'Div 4'!$T$53,'Div 4'!$T$55,'Div 4'!$T$57,'Div 4'!$T$59:$T$60,'Div 4'!$T$62,'Div 4'!$T$64,'Div 4'!$T$66,'Div 4'!$T$68:$T$69,'Div 4'!$T$71,'Div 4'!$T$73,'Div 4'!$T$75,'Div 4'!$T$77,'Div 4'!$T$79:$T$82,'Div 4'!$T$84,'Div 4'!$T$86:$T$90,'Div 4'!$T$92:$T$93,'Div 4'!$T$95:$T$104,'Div 4'!$T$106:$T$107,'Div 4'!$T$109,'Div 4'!$T$111:$T$112,'Div 4'!$T$114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6'!$T$69,'Div 6'!$T$71:$T$72,'Div 6'!$T$74</definedName>
    <definedName name="OSRRefT22x_0" localSheetId="2">Summary!$T$68:$T$77,Summary!$T$79:$T$88,Summary!$T$90,Summary!$T$92,Summary!$T$94,Summary!$T$96:$T$97,Summary!$T$99:$T$100,Summary!$T$102,Summary!$T$104,Summary!$T$106,Summary!$T$108:$T$109,Summary!$T$111:$T$113,Summary!$T$115,Summary!$T$117,Summary!$T$119,Summary!$T$121,Summary!$T$123,Summary!$T$125,Summary!$T$127:$T$130,Summary!$T$132:$T$135,Summary!$T$137:$T$141,Summary!$T$143:$T$144,Summary!$T$146:$T$155,Summary!$T$157:$T$158,Summary!$T$160,Summary!$T$162:$T$164,Summary!$T$166</definedName>
    <definedName name="OSRRefT25x_0" localSheetId="48">'300'!$T$145:$T$149</definedName>
    <definedName name="OSRRefT25x_0" localSheetId="49">'300 &amp; 317'!$T$151:$T$157</definedName>
    <definedName name="OSRRefT25x_0" localSheetId="50">'301'!$T$98:$T$99</definedName>
    <definedName name="OSRRefT25x_0" localSheetId="51">'308'!$T$88:$T$91</definedName>
    <definedName name="OSRRefT25x_0" localSheetId="69">'310 &amp; 491'!$T$111:$T$114</definedName>
    <definedName name="OSRRefT25x_0" localSheetId="52">'311'!$T$88:$T$91</definedName>
    <definedName name="OSRRefT25x_0" localSheetId="57">'315'!$T$108:$T$110</definedName>
    <definedName name="OSRRefT25x_0" localSheetId="60">'316'!$T$76</definedName>
    <definedName name="OSRRefT25x_0" localSheetId="62">'317'!$T$77:$T$79</definedName>
    <definedName name="OSRRefT25x_0" localSheetId="56">'331'!$T$120:$T$122</definedName>
    <definedName name="OSRRefT25x_0" localSheetId="59">'332'!$T$76</definedName>
    <definedName name="OSRRefT25x_0" localSheetId="54">'333'!$T$125:$T$127</definedName>
    <definedName name="OSRRefT25x_0" localSheetId="71">'405'!$T$92</definedName>
    <definedName name="OSRRefT25x_0" localSheetId="73">'411'!$T$78</definedName>
    <definedName name="OSRRefT25x_0" localSheetId="77">'415'!$T$95</definedName>
    <definedName name="OSRRefT25x_0" localSheetId="78">'418'!$T$88</definedName>
    <definedName name="OSRRefT25x_0" localSheetId="79">'423'!$T$49:$T$51</definedName>
    <definedName name="OSRRefT25x_0" localSheetId="70">'491'!$T$109:$T$112</definedName>
    <definedName name="OSRRefT25x_0" localSheetId="89">'501'!$T$73</definedName>
    <definedName name="OSRRefT25x_0" localSheetId="47">'Div 3'!$T$154:$T$158</definedName>
    <definedName name="OSRRefT25x_0" localSheetId="68">'Div 4'!$T$117:$T$120</definedName>
    <definedName name="OSRRefT25x_0" localSheetId="88">'Div 5'!$T$73</definedName>
    <definedName name="OSRRefT25x_0" localSheetId="61">'Div 6'!$T$77:$T$79</definedName>
    <definedName name="OSRRefT25x_0" localSheetId="2">Summary!$T$169:$T$176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'202'!$A$1:$Z$78</definedName>
    <definedName name="_xlnm.Print_Area" localSheetId="43">'203'!$A$1:$Z$87</definedName>
    <definedName name="_xlnm.Print_Area" localSheetId="44">'204'!$A$1:$Z$77</definedName>
    <definedName name="_xlnm.Print_Area" localSheetId="45">'205'!$A$1:$Z$69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'301'!$A$1:$Z$111</definedName>
    <definedName name="_xlnm.Print_Area" localSheetId="55">'307'!$A$1:$Z$97</definedName>
    <definedName name="_xlnm.Print_Area" localSheetId="51">'308'!$A$1:$Z$103</definedName>
    <definedName name="_xlnm.Print_Area" localSheetId="64">'309'!$A$1:$Z$69</definedName>
    <definedName name="_xlnm.Print_Area" localSheetId="63">'310'!$A$1:$Z$107</definedName>
    <definedName name="_xlnm.Print_Area" localSheetId="69">'310 &amp; 491'!$A$1:$Z$126</definedName>
    <definedName name="_xlnm.Print_Area" localSheetId="52">'311'!$A$1:$Z$103</definedName>
    <definedName name="_xlnm.Print_Area" localSheetId="57">'315'!$A$1:$Z$122</definedName>
    <definedName name="_xlnm.Print_Area" localSheetId="60">'316'!$A$1:$Z$88</definedName>
    <definedName name="_xlnm.Print_Area" localSheetId="62">'317'!$A$1:$Z$91</definedName>
    <definedName name="_xlnm.Print_Area" localSheetId="65">'321'!$A$1:$Z$87</definedName>
    <definedName name="_xlnm.Print_Area" localSheetId="53">'324'!$A$1:$Z$35</definedName>
    <definedName name="_xlnm.Print_Area" localSheetId="66">'325'!$A$1:$Z$99</definedName>
    <definedName name="_xlnm.Print_Area" localSheetId="58">'326'!$A$1:$Z$100</definedName>
    <definedName name="_xlnm.Print_Area" localSheetId="67">'327'!$A$1:$Z$42</definedName>
    <definedName name="_xlnm.Print_Area" localSheetId="56">'331'!$A$1:$Z$134</definedName>
    <definedName name="_xlnm.Print_Area" localSheetId="59">'332'!$A$1:$Z$88</definedName>
    <definedName name="_xlnm.Print_Area" localSheetId="54">'333'!$A$1:$Z$139</definedName>
    <definedName name="_xlnm.Print_Area" localSheetId="71">'405'!$A$1:$Z$104</definedName>
    <definedName name="_xlnm.Print_Area" localSheetId="72">'406'!$A$1:$Z$36</definedName>
    <definedName name="_xlnm.Print_Area" localSheetId="73">'411'!$A$1:$Z$90</definedName>
    <definedName name="_xlnm.Print_Area" localSheetId="74">'412'!$A$1:$Z$42</definedName>
    <definedName name="_xlnm.Print_Area" localSheetId="75">'413'!$A$1:$Z$38</definedName>
    <definedName name="_xlnm.Print_Area" localSheetId="76">'414'!$A$1:$Z$38</definedName>
    <definedName name="_xlnm.Print_Area" localSheetId="77">'415'!$A$1:$Z$107</definedName>
    <definedName name="_xlnm.Print_Area" localSheetId="78">'418'!$A$1:$Z$100</definedName>
    <definedName name="_xlnm.Print_Area" localSheetId="79">'423'!$A$1:$Z$63</definedName>
    <definedName name="_xlnm.Print_Area" localSheetId="80">'424'!$A$1:$Z$38</definedName>
    <definedName name="_xlnm.Print_Area" localSheetId="81">'425'!$A$1:$Z$46</definedName>
    <definedName name="_xlnm.Print_Area" localSheetId="83">'430'!$A$1:$Z$69</definedName>
    <definedName name="_xlnm.Print_Area" localSheetId="84">'433'!$A$1:$Z$101</definedName>
    <definedName name="_xlnm.Print_Area" localSheetId="85">'435'!$A$1:$Z$46</definedName>
    <definedName name="_xlnm.Print_Area" localSheetId="86">'444'!$A$1:$Z$103</definedName>
    <definedName name="_xlnm.Print_Area" localSheetId="87">'450'!$A$1:$Z$102</definedName>
    <definedName name="_xlnm.Print_Area" localSheetId="70">'491'!$A$1:$Z$124</definedName>
    <definedName name="_xlnm.Print_Area" localSheetId="82">'492'!$A$1:$Z$112</definedName>
    <definedName name="_xlnm.Print_Area" localSheetId="89">'501'!$A$1:$Z$85</definedName>
    <definedName name="_xlnm.Print_Area" localSheetId="90">Dept!$A$1:$Z$39</definedName>
    <definedName name="_xlnm.Print_Area" localSheetId="5">'Div 1'!$A$1:$Z$34</definedName>
    <definedName name="_xlnm.Print_Area" localSheetId="39">'Div 2'!$A$1:$Z$107</definedName>
    <definedName name="_xlnm.Print_Area" localSheetId="47">'Div 3'!$A$1:$Z$170</definedName>
    <definedName name="_xlnm.Print_Area" localSheetId="68">'Div 4'!$A$1:$Z$132</definedName>
    <definedName name="_xlnm.Print_Area" localSheetId="88">'Div 5'!$A$1:$Z$85</definedName>
    <definedName name="_xlnm.Print_Area" localSheetId="61">'Div 6'!$A$1:$Z$91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Summary!$A$1:$Z$190</definedName>
    <definedName name="_xlnm.Print_Titles" localSheetId="38">'100'!$1:$10</definedName>
    <definedName name="_xlnm.Print_Titles" localSheetId="40">'200'!$1:$10</definedName>
    <definedName name="_xlnm.Print_Titles" localSheetId="41">'201'!$1:$10</definedName>
    <definedName name="_xlnm.Print_Titles" localSheetId="42">'202'!$1:$10</definedName>
    <definedName name="_xlnm.Print_Titles" localSheetId="43">'203'!$1:$10</definedName>
    <definedName name="_xlnm.Print_Titles" localSheetId="44">'204'!$1:$10</definedName>
    <definedName name="_xlnm.Print_Titles" localSheetId="45">'205'!$1:$10</definedName>
    <definedName name="_xlnm.Print_Titles" localSheetId="46">'206'!$1:$10</definedName>
    <definedName name="_xlnm.Print_Titles" localSheetId="48">'300'!$1:$10</definedName>
    <definedName name="_xlnm.Print_Titles" localSheetId="49">'300 &amp; 317'!$1:$10</definedName>
    <definedName name="_xlnm.Print_Titles" localSheetId="50">'301'!$1:$10</definedName>
    <definedName name="_xlnm.Print_Titles" localSheetId="55">'307'!$1:$10</definedName>
    <definedName name="_xlnm.Print_Titles" localSheetId="51">'308'!$1:$10</definedName>
    <definedName name="_xlnm.Print_Titles" localSheetId="64">'309'!$1:$10</definedName>
    <definedName name="_xlnm.Print_Titles" localSheetId="63">'310'!$1:$10</definedName>
    <definedName name="_xlnm.Print_Titles" localSheetId="69">'310 &amp; 491'!$1:$10</definedName>
    <definedName name="_xlnm.Print_Titles" localSheetId="52">'311'!$1:$10</definedName>
    <definedName name="_xlnm.Print_Titles" localSheetId="57">'315'!$1:$10</definedName>
    <definedName name="_xlnm.Print_Titles" localSheetId="60">'316'!$1:$10</definedName>
    <definedName name="_xlnm.Print_Titles" localSheetId="62">'317'!$1:$10</definedName>
    <definedName name="_xlnm.Print_Titles" localSheetId="65">'321'!$1:$10</definedName>
    <definedName name="_xlnm.Print_Titles" localSheetId="53">'324'!$1:$10</definedName>
    <definedName name="_xlnm.Print_Titles" localSheetId="66">'325'!$1:$10</definedName>
    <definedName name="_xlnm.Print_Titles" localSheetId="58">'326'!$1:$10</definedName>
    <definedName name="_xlnm.Print_Titles" localSheetId="67">'327'!$1:$10</definedName>
    <definedName name="_xlnm.Print_Titles" localSheetId="56">'331'!$1:$10</definedName>
    <definedName name="_xlnm.Print_Titles" localSheetId="59">'332'!$1:$10</definedName>
    <definedName name="_xlnm.Print_Titles" localSheetId="54">'333'!$1:$10</definedName>
    <definedName name="_xlnm.Print_Titles" localSheetId="71">'405'!$1:$10</definedName>
    <definedName name="_xlnm.Print_Titles" localSheetId="72">'406'!$1:$10</definedName>
    <definedName name="_xlnm.Print_Titles" localSheetId="73">'411'!$1:$10</definedName>
    <definedName name="_xlnm.Print_Titles" localSheetId="74">'412'!$1:$10</definedName>
    <definedName name="_xlnm.Print_Titles" localSheetId="75">'413'!$1:$10</definedName>
    <definedName name="_xlnm.Print_Titles" localSheetId="76">'414'!$1:$10</definedName>
    <definedName name="_xlnm.Print_Titles" localSheetId="77">'415'!$1:$10</definedName>
    <definedName name="_xlnm.Print_Titles" localSheetId="78">'418'!$1:$10</definedName>
    <definedName name="_xlnm.Print_Titles" localSheetId="79">'423'!$1:$10</definedName>
    <definedName name="_xlnm.Print_Titles" localSheetId="80">'424'!$1:$10</definedName>
    <definedName name="_xlnm.Print_Titles" localSheetId="81">'425'!$1:$10</definedName>
    <definedName name="_xlnm.Print_Titles" localSheetId="83">'430'!$1:$10</definedName>
    <definedName name="_xlnm.Print_Titles" localSheetId="84">'433'!$1:$10</definedName>
    <definedName name="_xlnm.Print_Titles" localSheetId="85">'435'!$1:$10</definedName>
    <definedName name="_xlnm.Print_Titles" localSheetId="86">'444'!$1:$10</definedName>
    <definedName name="_xlnm.Print_Titles" localSheetId="87">'450'!$1:$10</definedName>
    <definedName name="_xlnm.Print_Titles" localSheetId="70">'491'!$1:$10</definedName>
    <definedName name="_xlnm.Print_Titles" localSheetId="82">'492'!$1:$10</definedName>
    <definedName name="_xlnm.Print_Titles" localSheetId="89">'501'!$1:$10</definedName>
    <definedName name="_xlnm.Print_Titles" localSheetId="90">Dept!$A:$C,Dept!$1:$10</definedName>
    <definedName name="_xlnm.Print_Titles" localSheetId="5">'Div 1'!$1:$10</definedName>
    <definedName name="_xlnm.Print_Titles" localSheetId="39">'Div 2'!$1:$10</definedName>
    <definedName name="_xlnm.Print_Titles" localSheetId="47">'Div 3'!$1:$10</definedName>
    <definedName name="_xlnm.Print_Titles" localSheetId="68">'Div 4'!$1:$10</definedName>
    <definedName name="_xlnm.Print_Titles" localSheetId="88">'Div 5'!$1:$10</definedName>
    <definedName name="_xlnm.Print_Titles" localSheetId="61">'Div 6'!$1:$10</definedName>
    <definedName name="_xlnm.Print_Titles" localSheetId="14">'OSR_300 &amp; 317_1C00ID4'!$1:$10</definedName>
    <definedName name="_xlnm.Print_Titles" localSheetId="15">'OSR_300 (2)_...6aa5a22d_14M6XO4'!$1:$10</definedName>
    <definedName name="_xlnm.Print_Titles" localSheetId="11">'OSR_300 (2)_7...54cb56fc_UFX0O2'!$1:$10</definedName>
    <definedName name="_xlnm.Print_Titles" localSheetId="17">'OSR_300 (2)_e...5d0da5bf_6BPGAO'!$1:$10</definedName>
    <definedName name="_xlnm.Print_Titles" localSheetId="12">OSR_300_IYZXI6!$A:$C,OSR_300_IYZXI6!$1:$10</definedName>
    <definedName name="_xlnm.Print_Titles" localSheetId="22">'OSR_308 (2)_...47685838_1YQW4QY'!$1:$10</definedName>
    <definedName name="_xlnm.Print_Titles" localSheetId="19">OSR_308_UAWDAG!$A:$C,OSR_308_UAWDAG!$1:$10</definedName>
    <definedName name="_xlnm.Print_Titles" localSheetId="28">'OSR_310 &amp; 491_1NGRCS9'!$1:$10</definedName>
    <definedName name="_xlnm.Print_Titles" localSheetId="18">'OSR_310 (2)_...6e684f08_1FLCNJG'!$1:$10</definedName>
    <definedName name="_xlnm.Print_Titles" localSheetId="27">'OSR_310 (2)_...8cac1423_1JTU33X'!$1:$10</definedName>
    <definedName name="_xlnm.Print_Titles" localSheetId="13">'OSR_310 (2)_5...3d931dee_QNK8R2'!$1:$10</definedName>
    <definedName name="_xlnm.Print_Titles" localSheetId="16">OSR_310_1CMTOSB!$A:$C,OSR_310_1CMTOSB!$1:$10</definedName>
    <definedName name="_xlnm.Print_Titles" localSheetId="20">'OSR_330 (2)_...8a14c83e_1NSH7XI'!$1:$10</definedName>
    <definedName name="_xlnm.Print_Titles" localSheetId="24">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(2)_...853a34aa_1UNC34K'!$1:$10</definedName>
    <definedName name="_xlnm.Print_Titles" localSheetId="30">OSR_491_9Z9JH5!$A:$C,OSR_491_9Z9JH5!$1:$10</definedName>
    <definedName name="_xlnm.Print_Titles" localSheetId="35">'OSR_492 (2)_...cd97c6a6_13HYXEV'!$1:$10</definedName>
    <definedName name="_xlnm.Print_Titles" localSheetId="32">OSR_492_943FP1!$A:$C,OSR_492_943FP1!$1:$10</definedName>
    <definedName name="_xlnm.Print_Titles" localSheetId="4">'OSR_Current ...69b7dd8c_1IEQKFK'!$1:$10</definedName>
    <definedName name="_xlnm.Print_Titles" localSheetId="91">OSR_Dept_Y0WUKY!$A:$C,OSR_Dept_Y0WUKY!$1:$10</definedName>
    <definedName name="_xlnm.Print_Titles" localSheetId="9">'OSR_Div 1 (2)...789fe994_2NV3KA'!$1:$10</definedName>
    <definedName name="_xlnm.Print_Titles" localSheetId="6">'OSR_Div 1_7H47HR'!$1:$10</definedName>
    <definedName name="_xlnm.Print_Titles" localSheetId="8">'OSR_Div 2_1PQ800A'!$1:$10</definedName>
    <definedName name="_xlnm.Print_Titles" localSheetId="7">'OSR_Div 3 (2)...4cb81c06_PBSMLS'!$1:$10</definedName>
    <definedName name="_xlnm.Print_Titles" localSheetId="10">'OSR_Div 3_18723PH'!$1:$10</definedName>
    <definedName name="_xlnm.Print_Titles" localSheetId="33">'OSR_Div 4 (2)...1a9a4454_CQFRNE'!$1:$10</definedName>
    <definedName name="_xlnm.Print_Titles" localSheetId="31">'OSR_Div 4 (2...2533da42_174R6QX'!$1:$10</definedName>
    <definedName name="_xlnm.Print_Titles" localSheetId="26">'OSR_Div 4_1740TMT'!$1:$10</definedName>
    <definedName name="_xlnm.Print_Titles" localSheetId="37">'OSR_Div 5 (2)...32d16c57_IVJ1QO'!$1:$10</definedName>
    <definedName name="_xlnm.Print_Titles" localSheetId="34">'OSR_Div 5_16NAZO2'!$1:$10</definedName>
    <definedName name="_xlnm.Print_Titles" localSheetId="36">'OSR_Div 6_P37YY7'!$1:$10</definedName>
    <definedName name="_xlnm.Print_Titles" localSheetId="92">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T34" i="95"/>
  <c r="Z34" i="95" s="1"/>
  <c r="P34" i="95"/>
  <c r="H34" i="95"/>
  <c r="N34" i="95" s="1"/>
  <c r="D34" i="95"/>
  <c r="T33" i="95"/>
  <c r="Z33" i="95" s="1"/>
  <c r="P33" i="95"/>
  <c r="H33" i="95"/>
  <c r="N33" i="95" s="1"/>
  <c r="D33" i="95"/>
  <c r="T29" i="95"/>
  <c r="Z29" i="95" s="1"/>
  <c r="P29" i="95"/>
  <c r="H29" i="95"/>
  <c r="N29" i="95" s="1"/>
  <c r="D29" i="95"/>
  <c r="T25" i="95"/>
  <c r="Z25" i="95" s="1"/>
  <c r="P25" i="95"/>
  <c r="H25" i="95"/>
  <c r="N25" i="95" s="1"/>
  <c r="D25" i="95"/>
  <c r="B25" i="95"/>
  <c r="T24" i="95"/>
  <c r="Z24" i="95" s="1"/>
  <c r="P24" i="95"/>
  <c r="H24" i="95"/>
  <c r="N24" i="95" s="1"/>
  <c r="D24" i="95"/>
  <c r="T22" i="95"/>
  <c r="Z22" i="95" s="1"/>
  <c r="P22" i="95"/>
  <c r="H22" i="95"/>
  <c r="N22" i="95" s="1"/>
  <c r="D22" i="95"/>
  <c r="B22" i="95"/>
  <c r="T21" i="95"/>
  <c r="Z21" i="95" s="1"/>
  <c r="P21" i="95"/>
  <c r="H21" i="95"/>
  <c r="N21" i="95" s="1"/>
  <c r="D21" i="95"/>
  <c r="B21" i="95"/>
  <c r="T20" i="95"/>
  <c r="P20" i="95"/>
  <c r="H20" i="95"/>
  <c r="N20" i="95" s="1"/>
  <c r="D20" i="95"/>
  <c r="T16" i="95"/>
  <c r="Z16" i="95" s="1"/>
  <c r="P16" i="95"/>
  <c r="H16" i="95"/>
  <c r="D16" i="95"/>
  <c r="B16" i="95"/>
  <c r="T15" i="95"/>
  <c r="P15" i="95"/>
  <c r="H15" i="95"/>
  <c r="N15" i="95" s="1"/>
  <c r="D15" i="95"/>
  <c r="T13" i="95"/>
  <c r="Z13" i="95" s="1"/>
  <c r="P13" i="95"/>
  <c r="X13" i="95" s="1"/>
  <c r="H13" i="95"/>
  <c r="N13" i="95" s="1"/>
  <c r="D13" i="95"/>
  <c r="B13" i="95"/>
  <c r="T12" i="95"/>
  <c r="V34" i="95" s="1"/>
  <c r="P12" i="95"/>
  <c r="H12" i="95"/>
  <c r="J16" i="95" s="1"/>
  <c r="D12" i="95"/>
  <c r="D6" i="95"/>
  <c r="D5" i="95"/>
  <c r="D4" i="95"/>
  <c r="B39" i="94"/>
  <c r="B38" i="94"/>
  <c r="T34" i="94"/>
  <c r="Z34" i="94" s="1"/>
  <c r="P34" i="94"/>
  <c r="H34" i="94"/>
  <c r="N34" i="94" s="1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H25" i="94"/>
  <c r="N25" i="94" s="1"/>
  <c r="D25" i="94"/>
  <c r="B25" i="94"/>
  <c r="T24" i="94"/>
  <c r="Z24" i="94" s="1"/>
  <c r="P24" i="94"/>
  <c r="H24" i="94"/>
  <c r="N24" i="94" s="1"/>
  <c r="D24" i="94"/>
  <c r="T22" i="94"/>
  <c r="Z22" i="94" s="1"/>
  <c r="P22" i="94"/>
  <c r="H22" i="94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20" i="94" s="1"/>
  <c r="P12" i="94"/>
  <c r="R36" i="94" s="1"/>
  <c r="H12" i="94"/>
  <c r="J16" i="94" s="1"/>
  <c r="D12" i="94"/>
  <c r="F34" i="94" s="1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P21" i="93"/>
  <c r="H21" i="93"/>
  <c r="N21" i="93" s="1"/>
  <c r="D21" i="93"/>
  <c r="B21" i="93"/>
  <c r="T20" i="93"/>
  <c r="Z20" i="93" s="1"/>
  <c r="P20" i="93"/>
  <c r="H20" i="93"/>
  <c r="N20" i="93" s="1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P12" i="93"/>
  <c r="R21" i="93" s="1"/>
  <c r="H12" i="93"/>
  <c r="J22" i="93" s="1"/>
  <c r="D12" i="93"/>
  <c r="F34" i="93" s="1"/>
  <c r="D6" i="93"/>
  <c r="D5" i="93"/>
  <c r="D4" i="93"/>
  <c r="X77" i="92"/>
  <c r="Z77" i="92" s="1"/>
  <c r="L77" i="92"/>
  <c r="N77" i="92" s="1"/>
  <c r="X73" i="92"/>
  <c r="Z73" i="92" s="1"/>
  <c r="P73" i="92"/>
  <c r="P72" i="92" s="1"/>
  <c r="X72" i="92" s="1"/>
  <c r="D73" i="92"/>
  <c r="L73" i="92" s="1"/>
  <c r="N73" i="92" s="1"/>
  <c r="B73" i="92"/>
  <c r="Z72" i="92"/>
  <c r="T72" i="92"/>
  <c r="H72" i="92"/>
  <c r="Z70" i="92"/>
  <c r="X70" i="92"/>
  <c r="N70" i="92"/>
  <c r="L70" i="92"/>
  <c r="B70" i="92"/>
  <c r="T69" i="92"/>
  <c r="P69" i="92"/>
  <c r="H69" i="92"/>
  <c r="D69" i="92"/>
  <c r="L69" i="92" s="1"/>
  <c r="B69" i="92"/>
  <c r="Z68" i="92"/>
  <c r="X68" i="92"/>
  <c r="L68" i="92"/>
  <c r="N68" i="92" s="1"/>
  <c r="B68" i="92"/>
  <c r="T67" i="92"/>
  <c r="P67" i="92"/>
  <c r="X67" i="92" s="1"/>
  <c r="L67" i="92"/>
  <c r="H67" i="92"/>
  <c r="D67" i="92"/>
  <c r="B67" i="92"/>
  <c r="Z66" i="92"/>
  <c r="X66" i="92"/>
  <c r="N66" i="92"/>
  <c r="L66" i="92"/>
  <c r="B66" i="92"/>
  <c r="Z65" i="92"/>
  <c r="X65" i="92"/>
  <c r="N65" i="92"/>
  <c r="L65" i="92"/>
  <c r="B65" i="92"/>
  <c r="Z64" i="92"/>
  <c r="X64" i="92"/>
  <c r="L64" i="92"/>
  <c r="N64" i="92" s="1"/>
  <c r="B64" i="92"/>
  <c r="T63" i="92"/>
  <c r="Z63" i="92" s="1"/>
  <c r="P63" i="92"/>
  <c r="X63" i="92" s="1"/>
  <c r="L63" i="92"/>
  <c r="N63" i="92" s="1"/>
  <c r="H63" i="92"/>
  <c r="D63" i="92"/>
  <c r="B63" i="92"/>
  <c r="Z62" i="92"/>
  <c r="X62" i="92"/>
  <c r="L62" i="92"/>
  <c r="N62" i="92" s="1"/>
  <c r="B62" i="92"/>
  <c r="X61" i="92"/>
  <c r="Z61" i="92" s="1"/>
  <c r="T61" i="92"/>
  <c r="P61" i="92"/>
  <c r="L61" i="92"/>
  <c r="H61" i="92"/>
  <c r="D61" i="92"/>
  <c r="B61" i="92"/>
  <c r="Z60" i="92"/>
  <c r="X60" i="92"/>
  <c r="N60" i="92"/>
  <c r="L60" i="92"/>
  <c r="B60" i="92"/>
  <c r="X59" i="92"/>
  <c r="Z59" i="92" s="1"/>
  <c r="L59" i="92"/>
  <c r="N59" i="92" s="1"/>
  <c r="B59" i="92"/>
  <c r="Z58" i="92"/>
  <c r="X58" i="92"/>
  <c r="N58" i="92"/>
  <c r="L58" i="92"/>
  <c r="B58" i="92"/>
  <c r="X57" i="92"/>
  <c r="Z57" i="92" s="1"/>
  <c r="T57" i="92"/>
  <c r="P57" i="92"/>
  <c r="H57" i="92"/>
  <c r="D57" i="92"/>
  <c r="B57" i="92"/>
  <c r="Z56" i="92"/>
  <c r="X56" i="92"/>
  <c r="N56" i="92"/>
  <c r="L56" i="92"/>
  <c r="B56" i="92"/>
  <c r="T55" i="92"/>
  <c r="P55" i="92"/>
  <c r="L55" i="92"/>
  <c r="N55" i="92" s="1"/>
  <c r="H55" i="92"/>
  <c r="D55" i="92"/>
  <c r="B55" i="92"/>
  <c r="X54" i="92"/>
  <c r="Z54" i="92" s="1"/>
  <c r="N54" i="92"/>
  <c r="L54" i="92"/>
  <c r="B54" i="92"/>
  <c r="T53" i="92"/>
  <c r="P53" i="92"/>
  <c r="X53" i="92" s="1"/>
  <c r="L53" i="92"/>
  <c r="H53" i="92"/>
  <c r="D53" i="92"/>
  <c r="B53" i="92"/>
  <c r="Z52" i="92"/>
  <c r="X52" i="92"/>
  <c r="N52" i="92"/>
  <c r="L52" i="92"/>
  <c r="B52" i="92"/>
  <c r="X51" i="92"/>
  <c r="T51" i="92"/>
  <c r="P51" i="92"/>
  <c r="H51" i="92"/>
  <c r="N51" i="92" s="1"/>
  <c r="D51" i="92"/>
  <c r="L51" i="92" s="1"/>
  <c r="B51" i="92"/>
  <c r="X50" i="92"/>
  <c r="Z50" i="92" s="1"/>
  <c r="L50" i="92"/>
  <c r="N50" i="92" s="1"/>
  <c r="B50" i="92"/>
  <c r="Z49" i="92"/>
  <c r="X49" i="92"/>
  <c r="N49" i="92"/>
  <c r="L49" i="92"/>
  <c r="B49" i="92"/>
  <c r="T48" i="92"/>
  <c r="P48" i="92"/>
  <c r="X48" i="92" s="1"/>
  <c r="Z48" i="92" s="1"/>
  <c r="L48" i="92"/>
  <c r="N48" i="92" s="1"/>
  <c r="H48" i="92"/>
  <c r="D48" i="92"/>
  <c r="B48" i="92"/>
  <c r="X47" i="92"/>
  <c r="Z47" i="92" s="1"/>
  <c r="L47" i="92"/>
  <c r="N47" i="92" s="1"/>
  <c r="B47" i="92"/>
  <c r="X46" i="92"/>
  <c r="Z46" i="92" s="1"/>
  <c r="V46" i="92"/>
  <c r="T46" i="92"/>
  <c r="P46" i="92"/>
  <c r="H46" i="92"/>
  <c r="D46" i="92"/>
  <c r="B46" i="92"/>
  <c r="Z45" i="92"/>
  <c r="X45" i="92"/>
  <c r="L45" i="92"/>
  <c r="N45" i="92" s="1"/>
  <c r="B45" i="92"/>
  <c r="T44" i="92"/>
  <c r="P44" i="92"/>
  <c r="H44" i="92"/>
  <c r="D44" i="92"/>
  <c r="L44" i="92" s="1"/>
  <c r="N44" i="92" s="1"/>
  <c r="B44" i="92"/>
  <c r="X43" i="92"/>
  <c r="Z43" i="92" s="1"/>
  <c r="N43" i="92"/>
  <c r="L43" i="92"/>
  <c r="B43" i="92"/>
  <c r="Z42" i="92"/>
  <c r="X42" i="92"/>
  <c r="T42" i="92"/>
  <c r="P42" i="92"/>
  <c r="H42" i="92"/>
  <c r="D42" i="92"/>
  <c r="B42" i="92"/>
  <c r="Z41" i="92"/>
  <c r="X41" i="92"/>
  <c r="N41" i="92"/>
  <c r="L41" i="92"/>
  <c r="B41" i="92"/>
  <c r="Z40" i="92"/>
  <c r="X40" i="92"/>
  <c r="N40" i="92"/>
  <c r="L40" i="92"/>
  <c r="B40" i="92"/>
  <c r="X39" i="92"/>
  <c r="Z39" i="92" s="1"/>
  <c r="N39" i="92"/>
  <c r="L39" i="92"/>
  <c r="B39" i="92"/>
  <c r="Z38" i="92"/>
  <c r="X38" i="92"/>
  <c r="R38" i="92"/>
  <c r="N38" i="92"/>
  <c r="L38" i="92"/>
  <c r="B38" i="92"/>
  <c r="Z37" i="92"/>
  <c r="X37" i="92"/>
  <c r="R37" i="92"/>
  <c r="N37" i="92"/>
  <c r="L37" i="92"/>
  <c r="B37" i="92"/>
  <c r="Z36" i="92"/>
  <c r="X36" i="92"/>
  <c r="V36" i="92"/>
  <c r="N36" i="92"/>
  <c r="L36" i="92"/>
  <c r="B36" i="92"/>
  <c r="X35" i="92"/>
  <c r="Z35" i="92" s="1"/>
  <c r="N35" i="92"/>
  <c r="L35" i="92"/>
  <c r="B35" i="92"/>
  <c r="Z34" i="92"/>
  <c r="X34" i="92"/>
  <c r="N34" i="92"/>
  <c r="L34" i="92"/>
  <c r="B34" i="92"/>
  <c r="Z33" i="92"/>
  <c r="X33" i="92"/>
  <c r="N33" i="92"/>
  <c r="L33" i="92"/>
  <c r="B33" i="92"/>
  <c r="Z32" i="92"/>
  <c r="X32" i="92"/>
  <c r="L32" i="92"/>
  <c r="N32" i="92" s="1"/>
  <c r="J32" i="92"/>
  <c r="B32" i="92"/>
  <c r="T31" i="92"/>
  <c r="P31" i="92"/>
  <c r="X31" i="92" s="1"/>
  <c r="H31" i="92"/>
  <c r="D31" i="92"/>
  <c r="L31" i="92" s="1"/>
  <c r="N31" i="92" s="1"/>
  <c r="B31" i="92"/>
  <c r="Z30" i="92"/>
  <c r="X30" i="92"/>
  <c r="N30" i="92"/>
  <c r="L30" i="92"/>
  <c r="B30" i="92"/>
  <c r="Z29" i="92"/>
  <c r="X29" i="92"/>
  <c r="N29" i="92"/>
  <c r="L29" i="92"/>
  <c r="B29" i="92"/>
  <c r="Z28" i="92"/>
  <c r="X28" i="92"/>
  <c r="L28" i="92"/>
  <c r="N28" i="92" s="1"/>
  <c r="J28" i="92"/>
  <c r="B28" i="92"/>
  <c r="Z27" i="92"/>
  <c r="X27" i="92"/>
  <c r="N27" i="92"/>
  <c r="L27" i="92"/>
  <c r="B27" i="92"/>
  <c r="Z26" i="92"/>
  <c r="X26" i="92"/>
  <c r="N26" i="92"/>
  <c r="L26" i="92"/>
  <c r="B26" i="92"/>
  <c r="Z25" i="92"/>
  <c r="X25" i="92"/>
  <c r="R25" i="92"/>
  <c r="N25" i="92"/>
  <c r="L25" i="92"/>
  <c r="B25" i="92"/>
  <c r="X24" i="92"/>
  <c r="Z24" i="92" s="1"/>
  <c r="V24" i="92"/>
  <c r="N24" i="92"/>
  <c r="L24" i="92"/>
  <c r="B24" i="92"/>
  <c r="X23" i="92"/>
  <c r="Z23" i="92" s="1"/>
  <c r="L23" i="92"/>
  <c r="N23" i="92" s="1"/>
  <c r="B23" i="92"/>
  <c r="Z22" i="92"/>
  <c r="X22" i="92"/>
  <c r="L22" i="92"/>
  <c r="N22" i="92" s="1"/>
  <c r="B22" i="92"/>
  <c r="Z21" i="92"/>
  <c r="X21" i="92"/>
  <c r="N21" i="92"/>
  <c r="L21" i="92"/>
  <c r="B21" i="92"/>
  <c r="T20" i="92"/>
  <c r="P20" i="92"/>
  <c r="X20" i="92" s="1"/>
  <c r="H20" i="92"/>
  <c r="D20" i="92"/>
  <c r="L20" i="92" s="1"/>
  <c r="N20" i="92" s="1"/>
  <c r="B20" i="92"/>
  <c r="T19" i="92" a="1"/>
  <c r="T19" i="92" s="1"/>
  <c r="P19" i="92" a="1"/>
  <c r="P19" i="92" s="1"/>
  <c r="X19" i="92" s="1"/>
  <c r="H19" i="92" a="1"/>
  <c r="H19" i="92" s="1"/>
  <c r="D19" i="92" a="1"/>
  <c r="D19" i="92" s="1"/>
  <c r="L19" i="92" s="1"/>
  <c r="T17" i="92"/>
  <c r="H17" i="92"/>
  <c r="V15" i="92"/>
  <c r="T15" i="92"/>
  <c r="Z15" i="92" s="1"/>
  <c r="P15" i="92"/>
  <c r="N15" i="92"/>
  <c r="L15" i="92"/>
  <c r="H15" i="92"/>
  <c r="D15" i="92"/>
  <c r="X13" i="92"/>
  <c r="Z13" i="92" s="1"/>
  <c r="P13" i="92"/>
  <c r="D13" i="92"/>
  <c r="L13" i="92" s="1"/>
  <c r="N13" i="92" s="1"/>
  <c r="B13" i="92"/>
  <c r="T12" i="92"/>
  <c r="V54" i="92" s="1"/>
  <c r="P12" i="92"/>
  <c r="R57" i="92" s="1"/>
  <c r="H12" i="92"/>
  <c r="J68" i="92" s="1"/>
  <c r="D12" i="92"/>
  <c r="D6" i="92"/>
  <c r="D4" i="92"/>
  <c r="Z94" i="91"/>
  <c r="X94" i="91"/>
  <c r="L94" i="91"/>
  <c r="N94" i="91" s="1"/>
  <c r="X90" i="91"/>
  <c r="T90" i="91"/>
  <c r="Z90" i="91" s="1"/>
  <c r="P90" i="91"/>
  <c r="H90" i="91"/>
  <c r="N90" i="91" s="1"/>
  <c r="D90" i="91"/>
  <c r="Z88" i="91"/>
  <c r="X88" i="91"/>
  <c r="N88" i="91"/>
  <c r="L88" i="91"/>
  <c r="B88" i="91"/>
  <c r="X87" i="91"/>
  <c r="T87" i="91"/>
  <c r="Z87" i="91" s="1"/>
  <c r="P87" i="91"/>
  <c r="H87" i="91"/>
  <c r="N87" i="91" s="1"/>
  <c r="D87" i="91"/>
  <c r="B87" i="91"/>
  <c r="X86" i="91"/>
  <c r="Z86" i="91" s="1"/>
  <c r="N86" i="91"/>
  <c r="L86" i="91"/>
  <c r="B86" i="91"/>
  <c r="X85" i="91"/>
  <c r="T85" i="91"/>
  <c r="P85" i="91"/>
  <c r="N85" i="91"/>
  <c r="H85" i="91"/>
  <c r="D85" i="91"/>
  <c r="L85" i="91" s="1"/>
  <c r="B85" i="91"/>
  <c r="X84" i="91"/>
  <c r="Z84" i="91" s="1"/>
  <c r="N84" i="91"/>
  <c r="L84" i="91"/>
  <c r="J84" i="91"/>
  <c r="B84" i="91"/>
  <c r="T83" i="91"/>
  <c r="P83" i="91"/>
  <c r="H83" i="91"/>
  <c r="N83" i="91" s="1"/>
  <c r="D83" i="91"/>
  <c r="L83" i="91" s="1"/>
  <c r="B83" i="91"/>
  <c r="Z82" i="91"/>
  <c r="X82" i="91"/>
  <c r="L82" i="91"/>
  <c r="N82" i="91" s="1"/>
  <c r="B82" i="91"/>
  <c r="Z81" i="91"/>
  <c r="X81" i="91"/>
  <c r="N81" i="91"/>
  <c r="L81" i="91"/>
  <c r="B81" i="91"/>
  <c r="X80" i="91"/>
  <c r="Z80" i="91" s="1"/>
  <c r="N80" i="91"/>
  <c r="L80" i="91"/>
  <c r="B80" i="91"/>
  <c r="Z79" i="91"/>
  <c r="X79" i="91"/>
  <c r="L79" i="91"/>
  <c r="N79" i="91" s="1"/>
  <c r="B79" i="91"/>
  <c r="X78" i="91"/>
  <c r="Z78" i="91" s="1"/>
  <c r="N78" i="91"/>
  <c r="L78" i="91"/>
  <c r="B78" i="91"/>
  <c r="X77" i="91"/>
  <c r="Z77" i="91" s="1"/>
  <c r="N77" i="91"/>
  <c r="L77" i="91"/>
  <c r="B77" i="91"/>
  <c r="Z76" i="91"/>
  <c r="X76" i="91"/>
  <c r="L76" i="91"/>
  <c r="N76" i="91" s="1"/>
  <c r="B76" i="91"/>
  <c r="X75" i="91"/>
  <c r="T75" i="91"/>
  <c r="P75" i="91"/>
  <c r="H75" i="91"/>
  <c r="D75" i="91"/>
  <c r="B75" i="91"/>
  <c r="X74" i="91"/>
  <c r="Z74" i="91" s="1"/>
  <c r="N74" i="91"/>
  <c r="L74" i="91"/>
  <c r="B74" i="91"/>
  <c r="X73" i="91"/>
  <c r="Z73" i="91" s="1"/>
  <c r="L73" i="91"/>
  <c r="N73" i="91" s="1"/>
  <c r="B73" i="91"/>
  <c r="Z72" i="91"/>
  <c r="X72" i="91"/>
  <c r="L72" i="91"/>
  <c r="N72" i="91" s="1"/>
  <c r="B72" i="91"/>
  <c r="X71" i="91"/>
  <c r="Z71" i="91" s="1"/>
  <c r="N71" i="91"/>
  <c r="L71" i="91"/>
  <c r="B71" i="91"/>
  <c r="T70" i="91"/>
  <c r="P70" i="91"/>
  <c r="X70" i="91" s="1"/>
  <c r="Z70" i="91" s="1"/>
  <c r="N70" i="91"/>
  <c r="H70" i="91"/>
  <c r="D70" i="91"/>
  <c r="L70" i="91" s="1"/>
  <c r="B70" i="91"/>
  <c r="X69" i="91"/>
  <c r="Z69" i="91" s="1"/>
  <c r="L69" i="91"/>
  <c r="N69" i="91" s="1"/>
  <c r="B69" i="91"/>
  <c r="Z68" i="91"/>
  <c r="X68" i="91"/>
  <c r="L68" i="91"/>
  <c r="N68" i="91" s="1"/>
  <c r="B68" i="91"/>
  <c r="Z67" i="91"/>
  <c r="X67" i="91"/>
  <c r="N67" i="91"/>
  <c r="L67" i="91"/>
  <c r="B67" i="91"/>
  <c r="T66" i="91"/>
  <c r="P66" i="91"/>
  <c r="X66" i="91" s="1"/>
  <c r="Z66" i="91" s="1"/>
  <c r="N66" i="91"/>
  <c r="H66" i="91"/>
  <c r="D66" i="91"/>
  <c r="L66" i="91" s="1"/>
  <c r="B66" i="91"/>
  <c r="X65" i="91"/>
  <c r="Z65" i="91" s="1"/>
  <c r="L65" i="91"/>
  <c r="N65" i="91" s="1"/>
  <c r="B65" i="91"/>
  <c r="T64" i="91"/>
  <c r="P64" i="91"/>
  <c r="X64" i="91" s="1"/>
  <c r="Z64" i="91" s="1"/>
  <c r="L64" i="91"/>
  <c r="N64" i="91" s="1"/>
  <c r="J64" i="91"/>
  <c r="H64" i="91"/>
  <c r="D64" i="91"/>
  <c r="B64" i="91"/>
  <c r="Z63" i="91"/>
  <c r="X63" i="91"/>
  <c r="L63" i="91"/>
  <c r="N63" i="91" s="1"/>
  <c r="B63" i="91"/>
  <c r="X62" i="91"/>
  <c r="Z62" i="91" s="1"/>
  <c r="T62" i="91"/>
  <c r="P62" i="91"/>
  <c r="L62" i="91"/>
  <c r="H62" i="91"/>
  <c r="N62" i="91" s="1"/>
  <c r="D62" i="91"/>
  <c r="B62" i="91"/>
  <c r="X61" i="91"/>
  <c r="Z61" i="91" s="1"/>
  <c r="N61" i="91"/>
  <c r="L61" i="91"/>
  <c r="B61" i="91"/>
  <c r="X60" i="91"/>
  <c r="T60" i="91"/>
  <c r="Z60" i="91" s="1"/>
  <c r="P60" i="91"/>
  <c r="N60" i="91"/>
  <c r="H60" i="91"/>
  <c r="D60" i="91"/>
  <c r="L60" i="91" s="1"/>
  <c r="B60" i="91"/>
  <c r="X59" i="91"/>
  <c r="Z59" i="91" s="1"/>
  <c r="N59" i="91"/>
  <c r="L59" i="91"/>
  <c r="B59" i="91"/>
  <c r="T58" i="91"/>
  <c r="P58" i="91"/>
  <c r="H58" i="91"/>
  <c r="D58" i="91"/>
  <c r="L58" i="91" s="1"/>
  <c r="N58" i="91" s="1"/>
  <c r="B58" i="91"/>
  <c r="X57" i="91"/>
  <c r="Z57" i="91" s="1"/>
  <c r="N57" i="91"/>
  <c r="L57" i="91"/>
  <c r="B57" i="91"/>
  <c r="V56" i="91"/>
  <c r="T56" i="91"/>
  <c r="P56" i="91"/>
  <c r="X56" i="91" s="1"/>
  <c r="Z56" i="91" s="1"/>
  <c r="L56" i="91"/>
  <c r="H56" i="91"/>
  <c r="D56" i="91"/>
  <c r="B56" i="91"/>
  <c r="Z55" i="91"/>
  <c r="X55" i="91"/>
  <c r="L55" i="91"/>
  <c r="N55" i="91" s="1"/>
  <c r="B55" i="91"/>
  <c r="X54" i="91"/>
  <c r="V54" i="91"/>
  <c r="T54" i="91"/>
  <c r="Z54" i="91" s="1"/>
  <c r="P54" i="91"/>
  <c r="H54" i="91"/>
  <c r="D54" i="91"/>
  <c r="B54" i="91"/>
  <c r="X53" i="91"/>
  <c r="Z53" i="91" s="1"/>
  <c r="V53" i="91"/>
  <c r="N53" i="91"/>
  <c r="L53" i="91"/>
  <c r="B53" i="91"/>
  <c r="T52" i="91"/>
  <c r="P52" i="91"/>
  <c r="H52" i="91"/>
  <c r="D52" i="91"/>
  <c r="L52" i="91" s="1"/>
  <c r="N52" i="91" s="1"/>
  <c r="B52" i="91"/>
  <c r="X51" i="91"/>
  <c r="Z51" i="91" s="1"/>
  <c r="N51" i="91"/>
  <c r="L51" i="91"/>
  <c r="J51" i="91"/>
  <c r="B51" i="91"/>
  <c r="T50" i="91"/>
  <c r="P50" i="91"/>
  <c r="N50" i="91"/>
  <c r="H50" i="91"/>
  <c r="D50" i="91"/>
  <c r="L50" i="91" s="1"/>
  <c r="B50" i="91"/>
  <c r="X49" i="91"/>
  <c r="Z49" i="91" s="1"/>
  <c r="N49" i="91"/>
  <c r="L49" i="91"/>
  <c r="J49" i="91"/>
  <c r="B49" i="91"/>
  <c r="T48" i="91"/>
  <c r="P48" i="91"/>
  <c r="X48" i="91" s="1"/>
  <c r="Z48" i="91" s="1"/>
  <c r="L48" i="91"/>
  <c r="J48" i="91"/>
  <c r="H48" i="91"/>
  <c r="N48" i="91" s="1"/>
  <c r="D48" i="91"/>
  <c r="B48" i="91"/>
  <c r="Z47" i="91"/>
  <c r="X47" i="91"/>
  <c r="V47" i="91"/>
  <c r="N47" i="91"/>
  <c r="L47" i="91"/>
  <c r="B47" i="91"/>
  <c r="Z46" i="91"/>
  <c r="X46" i="91"/>
  <c r="N46" i="91"/>
  <c r="L46" i="91"/>
  <c r="B46" i="91"/>
  <c r="X45" i="91"/>
  <c r="Z45" i="91" s="1"/>
  <c r="N45" i="91"/>
  <c r="L45" i="91"/>
  <c r="J45" i="91"/>
  <c r="B45" i="91"/>
  <c r="Z44" i="91"/>
  <c r="X44" i="91"/>
  <c r="N44" i="91"/>
  <c r="L44" i="91"/>
  <c r="J44" i="91"/>
  <c r="B44" i="91"/>
  <c r="Z43" i="91"/>
  <c r="X43" i="91"/>
  <c r="N43" i="91"/>
  <c r="L43" i="91"/>
  <c r="B43" i="91"/>
  <c r="Z42" i="91"/>
  <c r="X42" i="91"/>
  <c r="L42" i="91"/>
  <c r="N42" i="91" s="1"/>
  <c r="B42" i="91"/>
  <c r="Z41" i="91"/>
  <c r="X41" i="91"/>
  <c r="N41" i="91"/>
  <c r="L41" i="91"/>
  <c r="J41" i="91"/>
  <c r="B41" i="91"/>
  <c r="Z40" i="91"/>
  <c r="X40" i="91"/>
  <c r="N40" i="91"/>
  <c r="L40" i="91"/>
  <c r="J40" i="91"/>
  <c r="F40" i="91"/>
  <c r="B40" i="91"/>
  <c r="X39" i="91"/>
  <c r="Z39" i="91" s="1"/>
  <c r="N39" i="91"/>
  <c r="L39" i="91"/>
  <c r="J39" i="91"/>
  <c r="B39" i="91"/>
  <c r="Z38" i="91"/>
  <c r="X38" i="91"/>
  <c r="N38" i="91"/>
  <c r="L38" i="91"/>
  <c r="B38" i="91"/>
  <c r="V37" i="91"/>
  <c r="T37" i="91"/>
  <c r="Z37" i="91" s="1"/>
  <c r="P37" i="91"/>
  <c r="X37" i="91" s="1"/>
  <c r="H37" i="91"/>
  <c r="N37" i="91" s="1"/>
  <c r="D37" i="91"/>
  <c r="L37" i="91" s="1"/>
  <c r="B37" i="91"/>
  <c r="Z36" i="91"/>
  <c r="X36" i="91"/>
  <c r="L36" i="91"/>
  <c r="N36" i="91" s="1"/>
  <c r="J36" i="91"/>
  <c r="B36" i="91"/>
  <c r="X35" i="91"/>
  <c r="Z35" i="91" s="1"/>
  <c r="N35" i="91"/>
  <c r="L35" i="91"/>
  <c r="J35" i="91"/>
  <c r="B35" i="91"/>
  <c r="Z34" i="91"/>
  <c r="X34" i="91"/>
  <c r="L34" i="91"/>
  <c r="N34" i="91" s="1"/>
  <c r="B34" i="91"/>
  <c r="Z33" i="91"/>
  <c r="X33" i="91"/>
  <c r="V33" i="91"/>
  <c r="N33" i="91"/>
  <c r="L33" i="91"/>
  <c r="B33" i="91"/>
  <c r="Z32" i="91"/>
  <c r="X32" i="91"/>
  <c r="V32" i="91"/>
  <c r="N32" i="91"/>
  <c r="L32" i="91"/>
  <c r="B32" i="91"/>
  <c r="Z31" i="91"/>
  <c r="X31" i="91"/>
  <c r="V31" i="91"/>
  <c r="L31" i="91"/>
  <c r="N31" i="91" s="1"/>
  <c r="B31" i="91"/>
  <c r="X30" i="91"/>
  <c r="Z30" i="91" s="1"/>
  <c r="L30" i="91"/>
  <c r="N30" i="91" s="1"/>
  <c r="B30" i="91"/>
  <c r="Z29" i="91"/>
  <c r="X29" i="91"/>
  <c r="N29" i="91"/>
  <c r="L29" i="91"/>
  <c r="J29" i="91"/>
  <c r="B29" i="91"/>
  <c r="Z28" i="91"/>
  <c r="X28" i="91"/>
  <c r="L28" i="91"/>
  <c r="N28" i="91" s="1"/>
  <c r="J28" i="91"/>
  <c r="B28" i="91"/>
  <c r="X27" i="91"/>
  <c r="Z27" i="91" s="1"/>
  <c r="N27" i="91"/>
  <c r="L27" i="91"/>
  <c r="J27" i="91"/>
  <c r="B27" i="91"/>
  <c r="T26" i="91"/>
  <c r="Z26" i="91" s="1"/>
  <c r="P26" i="91"/>
  <c r="X26" i="91" s="1"/>
  <c r="H26" i="91"/>
  <c r="N26" i="91" s="1"/>
  <c r="D26" i="91"/>
  <c r="L26" i="91" s="1"/>
  <c r="B26" i="91"/>
  <c r="T25" i="91" a="1"/>
  <c r="T25" i="91" s="1"/>
  <c r="P25" i="91" a="1"/>
  <c r="P25" i="91" s="1"/>
  <c r="N25" i="91"/>
  <c r="H25" i="91" a="1"/>
  <c r="H25" i="91" s="1"/>
  <c r="D25" i="91" a="1"/>
  <c r="D25" i="91" s="1"/>
  <c r="L25" i="91" s="1"/>
  <c r="T23" i="91"/>
  <c r="Z21" i="91"/>
  <c r="X21" i="91"/>
  <c r="V21" i="91"/>
  <c r="N21" i="91"/>
  <c r="L21" i="91"/>
  <c r="B21" i="91"/>
  <c r="Z20" i="91"/>
  <c r="X20" i="91"/>
  <c r="V20" i="91"/>
  <c r="N20" i="91"/>
  <c r="L20" i="91"/>
  <c r="J20" i="91"/>
  <c r="B20" i="91"/>
  <c r="Z19" i="91"/>
  <c r="X19" i="91"/>
  <c r="V19" i="91"/>
  <c r="L19" i="91"/>
  <c r="N19" i="91" s="1"/>
  <c r="B19" i="91"/>
  <c r="X18" i="91"/>
  <c r="Z18" i="91" s="1"/>
  <c r="T18" i="91"/>
  <c r="P18" i="91"/>
  <c r="H18" i="91"/>
  <c r="D18" i="91"/>
  <c r="Z16" i="91"/>
  <c r="X16" i="91"/>
  <c r="P16" i="91"/>
  <c r="N16" i="91"/>
  <c r="D16" i="91"/>
  <c r="L16" i="91" s="1"/>
  <c r="B16" i="91"/>
  <c r="Z15" i="91"/>
  <c r="X15" i="91"/>
  <c r="P15" i="91"/>
  <c r="N15" i="91"/>
  <c r="L15" i="91"/>
  <c r="D15" i="91"/>
  <c r="B15" i="91"/>
  <c r="P14" i="91"/>
  <c r="X14" i="91" s="1"/>
  <c r="Z14" i="91" s="1"/>
  <c r="D14" i="91"/>
  <c r="L14" i="91" s="1"/>
  <c r="N14" i="91" s="1"/>
  <c r="B14" i="91"/>
  <c r="Z13" i="91"/>
  <c r="X13" i="91"/>
  <c r="P13" i="91"/>
  <c r="N13" i="91"/>
  <c r="L13" i="91"/>
  <c r="D13" i="91"/>
  <c r="B13" i="91"/>
  <c r="T12" i="91"/>
  <c r="H12" i="91"/>
  <c r="J50" i="91" s="1"/>
  <c r="D12" i="91"/>
  <c r="D6" i="91"/>
  <c r="D4" i="91"/>
  <c r="Z95" i="90"/>
  <c r="X95" i="90"/>
  <c r="L95" i="90"/>
  <c r="N95" i="90" s="1"/>
  <c r="T91" i="90"/>
  <c r="P91" i="90"/>
  <c r="H91" i="90"/>
  <c r="N91" i="90" s="1"/>
  <c r="D91" i="90"/>
  <c r="Z89" i="90"/>
  <c r="X89" i="90"/>
  <c r="L89" i="90"/>
  <c r="N89" i="90" s="1"/>
  <c r="B89" i="90"/>
  <c r="T88" i="90"/>
  <c r="P88" i="90"/>
  <c r="X88" i="90" s="1"/>
  <c r="N88" i="90"/>
  <c r="H88" i="90"/>
  <c r="D88" i="90"/>
  <c r="L88" i="90" s="1"/>
  <c r="B88" i="90"/>
  <c r="X87" i="90"/>
  <c r="Z87" i="90" s="1"/>
  <c r="N87" i="90"/>
  <c r="L87" i="90"/>
  <c r="B87" i="90"/>
  <c r="Z86" i="90"/>
  <c r="T86" i="90"/>
  <c r="P86" i="90"/>
  <c r="X86" i="90" s="1"/>
  <c r="N86" i="90"/>
  <c r="L86" i="90"/>
  <c r="H86" i="90"/>
  <c r="D86" i="90"/>
  <c r="B86" i="90"/>
  <c r="X85" i="90"/>
  <c r="Z85" i="90" s="1"/>
  <c r="N85" i="90"/>
  <c r="L85" i="90"/>
  <c r="B85" i="90"/>
  <c r="Z84" i="90"/>
  <c r="X84" i="90"/>
  <c r="N84" i="90"/>
  <c r="L84" i="90"/>
  <c r="B84" i="90"/>
  <c r="X83" i="90"/>
  <c r="Z83" i="90" s="1"/>
  <c r="N83" i="90"/>
  <c r="L83" i="90"/>
  <c r="B83" i="90"/>
  <c r="Z82" i="90"/>
  <c r="X82" i="90"/>
  <c r="L82" i="90"/>
  <c r="N82" i="90" s="1"/>
  <c r="B82" i="90"/>
  <c r="Z81" i="90"/>
  <c r="X81" i="90"/>
  <c r="L81" i="90"/>
  <c r="N81" i="90" s="1"/>
  <c r="B81" i="90"/>
  <c r="X80" i="90"/>
  <c r="Z80" i="90" s="1"/>
  <c r="N80" i="90"/>
  <c r="L80" i="90"/>
  <c r="B80" i="90"/>
  <c r="Z79" i="90"/>
  <c r="X79" i="90"/>
  <c r="L79" i="90"/>
  <c r="N79" i="90" s="1"/>
  <c r="B79" i="90"/>
  <c r="Z78" i="90"/>
  <c r="X78" i="90"/>
  <c r="N78" i="90"/>
  <c r="L78" i="90"/>
  <c r="B78" i="90"/>
  <c r="Z77" i="90"/>
  <c r="X77" i="90"/>
  <c r="N77" i="90"/>
  <c r="L77" i="90"/>
  <c r="B77" i="90"/>
  <c r="Z76" i="90"/>
  <c r="X76" i="90"/>
  <c r="V76" i="90"/>
  <c r="T76" i="90"/>
  <c r="P76" i="90"/>
  <c r="H76" i="90"/>
  <c r="D76" i="90"/>
  <c r="B76" i="90"/>
  <c r="Z75" i="90"/>
  <c r="X75" i="90"/>
  <c r="N75" i="90"/>
  <c r="L75" i="90"/>
  <c r="B75" i="90"/>
  <c r="T74" i="90"/>
  <c r="Z74" i="90" s="1"/>
  <c r="P74" i="90"/>
  <c r="X74" i="90" s="1"/>
  <c r="H74" i="90"/>
  <c r="N74" i="90" s="1"/>
  <c r="D74" i="90"/>
  <c r="L74" i="90" s="1"/>
  <c r="B74" i="90"/>
  <c r="Z73" i="90"/>
  <c r="X73" i="90"/>
  <c r="L73" i="90"/>
  <c r="N73" i="90" s="1"/>
  <c r="B73" i="90"/>
  <c r="X72" i="90"/>
  <c r="Z72" i="90" s="1"/>
  <c r="N72" i="90"/>
  <c r="L72" i="90"/>
  <c r="B72" i="90"/>
  <c r="Z71" i="90"/>
  <c r="X71" i="90"/>
  <c r="L71" i="90"/>
  <c r="N71" i="90" s="1"/>
  <c r="B71" i="90"/>
  <c r="X70" i="90"/>
  <c r="Z70" i="90" s="1"/>
  <c r="N70" i="90"/>
  <c r="L70" i="90"/>
  <c r="B70" i="90"/>
  <c r="X69" i="90"/>
  <c r="T69" i="90"/>
  <c r="P69" i="90"/>
  <c r="H69" i="90"/>
  <c r="D69" i="90"/>
  <c r="B69" i="90"/>
  <c r="X68" i="90"/>
  <c r="Z68" i="90" s="1"/>
  <c r="L68" i="90"/>
  <c r="N68" i="90" s="1"/>
  <c r="B68" i="90"/>
  <c r="Z67" i="90"/>
  <c r="X67" i="90"/>
  <c r="N67" i="90"/>
  <c r="L67" i="90"/>
  <c r="B67" i="90"/>
  <c r="T66" i="90"/>
  <c r="P66" i="90"/>
  <c r="H66" i="90"/>
  <c r="F66" i="90"/>
  <c r="D66" i="90"/>
  <c r="L66" i="90" s="1"/>
  <c r="N66" i="90" s="1"/>
  <c r="B66" i="90"/>
  <c r="X65" i="90"/>
  <c r="Z65" i="90" s="1"/>
  <c r="L65" i="90"/>
  <c r="N65" i="90" s="1"/>
  <c r="B65" i="90"/>
  <c r="X64" i="90"/>
  <c r="Z64" i="90" s="1"/>
  <c r="T64" i="90"/>
  <c r="P64" i="90"/>
  <c r="H64" i="90"/>
  <c r="L64" i="90" s="1"/>
  <c r="D64" i="90"/>
  <c r="B64" i="90"/>
  <c r="Z63" i="90"/>
  <c r="X63" i="90"/>
  <c r="N63" i="90"/>
  <c r="L63" i="90"/>
  <c r="B63" i="90"/>
  <c r="T62" i="90"/>
  <c r="X62" i="90" s="1"/>
  <c r="P62" i="90"/>
  <c r="L62" i="90"/>
  <c r="N62" i="90" s="1"/>
  <c r="H62" i="90"/>
  <c r="D62" i="90"/>
  <c r="B62" i="90"/>
  <c r="X61" i="90"/>
  <c r="Z61" i="90" s="1"/>
  <c r="V61" i="90"/>
  <c r="L61" i="90"/>
  <c r="N61" i="90" s="1"/>
  <c r="B61" i="90"/>
  <c r="Z60" i="90"/>
  <c r="X60" i="90"/>
  <c r="T60" i="90"/>
  <c r="P60" i="90"/>
  <c r="H60" i="90"/>
  <c r="D60" i="90"/>
  <c r="L60" i="90" s="1"/>
  <c r="B60" i="90"/>
  <c r="Z59" i="90"/>
  <c r="X59" i="90"/>
  <c r="N59" i="90"/>
  <c r="L59" i="90"/>
  <c r="B59" i="90"/>
  <c r="T58" i="90"/>
  <c r="P58" i="90"/>
  <c r="X58" i="90" s="1"/>
  <c r="H58" i="90"/>
  <c r="D58" i="90"/>
  <c r="L58" i="90" s="1"/>
  <c r="N58" i="90" s="1"/>
  <c r="B58" i="90"/>
  <c r="X57" i="90"/>
  <c r="Z57" i="90" s="1"/>
  <c r="L57" i="90"/>
  <c r="N57" i="90" s="1"/>
  <c r="B57" i="90"/>
  <c r="X56" i="90"/>
  <c r="T56" i="90"/>
  <c r="Z56" i="90" s="1"/>
  <c r="P56" i="90"/>
  <c r="N56" i="90"/>
  <c r="H56" i="90"/>
  <c r="D56" i="90"/>
  <c r="L56" i="90" s="1"/>
  <c r="B56" i="90"/>
  <c r="X55" i="90"/>
  <c r="Z55" i="90" s="1"/>
  <c r="N55" i="90"/>
  <c r="L55" i="90"/>
  <c r="F55" i="90"/>
  <c r="B55" i="90"/>
  <c r="Z54" i="90"/>
  <c r="T54" i="90"/>
  <c r="P54" i="90"/>
  <c r="X54" i="90" s="1"/>
  <c r="N54" i="90"/>
  <c r="L54" i="90"/>
  <c r="H54" i="90"/>
  <c r="D54" i="90"/>
  <c r="B54" i="90"/>
  <c r="X53" i="90"/>
  <c r="Z53" i="90" s="1"/>
  <c r="L53" i="90"/>
  <c r="N53" i="90" s="1"/>
  <c r="B53" i="90"/>
  <c r="X52" i="90"/>
  <c r="Z52" i="90" s="1"/>
  <c r="T52" i="90"/>
  <c r="P52" i="90"/>
  <c r="H52" i="90"/>
  <c r="F52" i="90"/>
  <c r="D52" i="90"/>
  <c r="B52" i="90"/>
  <c r="Z51" i="90"/>
  <c r="X51" i="90"/>
  <c r="L51" i="90"/>
  <c r="N51" i="90" s="1"/>
  <c r="B51" i="90"/>
  <c r="T50" i="90"/>
  <c r="P50" i="90"/>
  <c r="H50" i="90"/>
  <c r="D50" i="90"/>
  <c r="L50" i="90" s="1"/>
  <c r="B50" i="90"/>
  <c r="X49" i="90"/>
  <c r="Z49" i="90" s="1"/>
  <c r="L49" i="90"/>
  <c r="N49" i="90" s="1"/>
  <c r="B49" i="90"/>
  <c r="X48" i="90"/>
  <c r="T48" i="90"/>
  <c r="P48" i="90"/>
  <c r="L48" i="90"/>
  <c r="N48" i="90" s="1"/>
  <c r="H48" i="90"/>
  <c r="D48" i="90"/>
  <c r="B48" i="90"/>
  <c r="Z47" i="90"/>
  <c r="X47" i="90"/>
  <c r="N47" i="90"/>
  <c r="L47" i="90"/>
  <c r="F47" i="90"/>
  <c r="B47" i="90"/>
  <c r="Z46" i="90"/>
  <c r="X46" i="90"/>
  <c r="N46" i="90"/>
  <c r="L46" i="90"/>
  <c r="J46" i="90"/>
  <c r="B46" i="90"/>
  <c r="X45" i="90"/>
  <c r="Z45" i="90" s="1"/>
  <c r="L45" i="90"/>
  <c r="N45" i="90" s="1"/>
  <c r="J45" i="90"/>
  <c r="B45" i="90"/>
  <c r="X44" i="90"/>
  <c r="Z44" i="90" s="1"/>
  <c r="N44" i="90"/>
  <c r="L44" i="90"/>
  <c r="J44" i="90"/>
  <c r="B44" i="90"/>
  <c r="Z43" i="90"/>
  <c r="X43" i="90"/>
  <c r="N43" i="90"/>
  <c r="L43" i="90"/>
  <c r="B43" i="90"/>
  <c r="X42" i="90"/>
  <c r="Z42" i="90" s="1"/>
  <c r="N42" i="90"/>
  <c r="L42" i="90"/>
  <c r="B42" i="90"/>
  <c r="Z41" i="90"/>
  <c r="X41" i="90"/>
  <c r="L41" i="90"/>
  <c r="N41" i="90" s="1"/>
  <c r="B41" i="90"/>
  <c r="Z40" i="90"/>
  <c r="X40" i="90"/>
  <c r="V40" i="90"/>
  <c r="N40" i="90"/>
  <c r="L40" i="90"/>
  <c r="B40" i="90"/>
  <c r="X39" i="90"/>
  <c r="Z39" i="90" s="1"/>
  <c r="N39" i="90"/>
  <c r="L39" i="90"/>
  <c r="B39" i="90"/>
  <c r="Z38" i="90"/>
  <c r="X38" i="90"/>
  <c r="N38" i="90"/>
  <c r="L38" i="90"/>
  <c r="B38" i="90"/>
  <c r="X37" i="90"/>
  <c r="T37" i="90"/>
  <c r="Z37" i="90" s="1"/>
  <c r="P37" i="90"/>
  <c r="L37" i="90"/>
  <c r="H37" i="90"/>
  <c r="D37" i="90"/>
  <c r="B37" i="90"/>
  <c r="X36" i="90"/>
  <c r="Z36" i="90" s="1"/>
  <c r="V36" i="90"/>
  <c r="N36" i="90"/>
  <c r="L36" i="90"/>
  <c r="B36" i="90"/>
  <c r="X35" i="90"/>
  <c r="Z35" i="90" s="1"/>
  <c r="L35" i="90"/>
  <c r="N35" i="90" s="1"/>
  <c r="B35" i="90"/>
  <c r="Z34" i="90"/>
  <c r="X34" i="90"/>
  <c r="L34" i="90"/>
  <c r="N34" i="90" s="1"/>
  <c r="B34" i="90"/>
  <c r="Z33" i="90"/>
  <c r="X33" i="90"/>
  <c r="N33" i="90"/>
  <c r="L33" i="90"/>
  <c r="F33" i="90"/>
  <c r="B33" i="90"/>
  <c r="Z32" i="90"/>
  <c r="X32" i="90"/>
  <c r="N32" i="90"/>
  <c r="L32" i="90"/>
  <c r="J32" i="90"/>
  <c r="B32" i="90"/>
  <c r="X31" i="90"/>
  <c r="Z31" i="90" s="1"/>
  <c r="L31" i="90"/>
  <c r="N31" i="90" s="1"/>
  <c r="B31" i="90"/>
  <c r="X30" i="90"/>
  <c r="Z30" i="90" s="1"/>
  <c r="N30" i="90"/>
  <c r="L30" i="90"/>
  <c r="B30" i="90"/>
  <c r="Z29" i="90"/>
  <c r="X29" i="90"/>
  <c r="L29" i="90"/>
  <c r="N29" i="90" s="1"/>
  <c r="B29" i="90"/>
  <c r="X28" i="90"/>
  <c r="Z28" i="90" s="1"/>
  <c r="V28" i="90"/>
  <c r="N28" i="90"/>
  <c r="L28" i="90"/>
  <c r="B28" i="90"/>
  <c r="X27" i="90"/>
  <c r="Z27" i="90" s="1"/>
  <c r="L27" i="90"/>
  <c r="N27" i="90" s="1"/>
  <c r="B27" i="90"/>
  <c r="Z26" i="90"/>
  <c r="V26" i="90"/>
  <c r="T26" i="90"/>
  <c r="P26" i="90"/>
  <c r="X26" i="90" s="1"/>
  <c r="J26" i="90"/>
  <c r="H26" i="90"/>
  <c r="D26" i="90"/>
  <c r="L26" i="90" s="1"/>
  <c r="N26" i="90" s="1"/>
  <c r="B26" i="90"/>
  <c r="T25" i="90" a="1"/>
  <c r="T25" i="90" s="1"/>
  <c r="P25" i="90" a="1"/>
  <c r="P25" i="90" s="1"/>
  <c r="H25" i="90" a="1"/>
  <c r="H25" i="90" s="1"/>
  <c r="D25" i="90" a="1"/>
  <c r="D25" i="90" s="1"/>
  <c r="T23" i="90"/>
  <c r="D23" i="90"/>
  <c r="Z21" i="90"/>
  <c r="X21" i="90"/>
  <c r="V21" i="90"/>
  <c r="N21" i="90"/>
  <c r="L21" i="90"/>
  <c r="F21" i="90"/>
  <c r="B21" i="90"/>
  <c r="Z20" i="90"/>
  <c r="X20" i="90"/>
  <c r="V20" i="90"/>
  <c r="N20" i="90"/>
  <c r="L20" i="90"/>
  <c r="J20" i="90"/>
  <c r="B20" i="90"/>
  <c r="Z19" i="90"/>
  <c r="X19" i="90"/>
  <c r="V19" i="90"/>
  <c r="L19" i="90"/>
  <c r="N19" i="90" s="1"/>
  <c r="B19" i="90"/>
  <c r="X18" i="90"/>
  <c r="Z18" i="90" s="1"/>
  <c r="T18" i="90"/>
  <c r="P18" i="90"/>
  <c r="L18" i="90"/>
  <c r="N18" i="90" s="1"/>
  <c r="H18" i="90"/>
  <c r="D18" i="90"/>
  <c r="Z16" i="90"/>
  <c r="P16" i="90"/>
  <c r="X16" i="90" s="1"/>
  <c r="N16" i="90"/>
  <c r="D16" i="90"/>
  <c r="L16" i="90" s="1"/>
  <c r="B16" i="90"/>
  <c r="Z15" i="90"/>
  <c r="X15" i="90"/>
  <c r="P15" i="90"/>
  <c r="N15" i="90"/>
  <c r="L15" i="90"/>
  <c r="D15" i="90"/>
  <c r="B15" i="90"/>
  <c r="P14" i="90"/>
  <c r="D14" i="90"/>
  <c r="L14" i="90" s="1"/>
  <c r="N14" i="90" s="1"/>
  <c r="B14" i="90"/>
  <c r="Z13" i="90"/>
  <c r="P13" i="90"/>
  <c r="X13" i="90" s="1"/>
  <c r="N13" i="90"/>
  <c r="D13" i="90"/>
  <c r="L13" i="90" s="1"/>
  <c r="B13" i="90"/>
  <c r="T12" i="90"/>
  <c r="V60" i="90" s="1"/>
  <c r="H12" i="90"/>
  <c r="J80" i="90" s="1"/>
  <c r="D12" i="90"/>
  <c r="F95" i="90" s="1"/>
  <c r="D6" i="90"/>
  <c r="D4" i="90"/>
  <c r="V43" i="89"/>
  <c r="Z38" i="89"/>
  <c r="X38" i="89"/>
  <c r="V38" i="89"/>
  <c r="N38" i="89"/>
  <c r="L38" i="89"/>
  <c r="V36" i="89"/>
  <c r="X34" i="89"/>
  <c r="T34" i="89"/>
  <c r="Z34" i="89" s="1"/>
  <c r="P34" i="89"/>
  <c r="N34" i="89"/>
  <c r="H34" i="89"/>
  <c r="D34" i="89"/>
  <c r="L34" i="89" s="1"/>
  <c r="Z32" i="89"/>
  <c r="X32" i="89"/>
  <c r="V32" i="89"/>
  <c r="N32" i="89"/>
  <c r="L32" i="89"/>
  <c r="B32" i="89"/>
  <c r="X31" i="89"/>
  <c r="T31" i="89"/>
  <c r="Z31" i="89" s="1"/>
  <c r="P31" i="89"/>
  <c r="H31" i="89"/>
  <c r="N31" i="89" s="1"/>
  <c r="D31" i="89"/>
  <c r="L31" i="89" s="1"/>
  <c r="B31" i="89"/>
  <c r="Z30" i="89"/>
  <c r="X30" i="89"/>
  <c r="N30" i="89"/>
  <c r="L30" i="89"/>
  <c r="B30" i="89"/>
  <c r="T29" i="89"/>
  <c r="Z29" i="89" s="1"/>
  <c r="P29" i="89"/>
  <c r="X29" i="89" s="1"/>
  <c r="N29" i="89"/>
  <c r="H29" i="89"/>
  <c r="D29" i="89"/>
  <c r="L29" i="89" s="1"/>
  <c r="B29" i="89"/>
  <c r="Z28" i="89"/>
  <c r="X28" i="89"/>
  <c r="N28" i="89"/>
  <c r="L28" i="89"/>
  <c r="J28" i="89"/>
  <c r="B28" i="89"/>
  <c r="Z27" i="89"/>
  <c r="T27" i="89"/>
  <c r="P27" i="89"/>
  <c r="X27" i="89" s="1"/>
  <c r="L27" i="89"/>
  <c r="J27" i="89"/>
  <c r="H27" i="89"/>
  <c r="N27" i="89" s="1"/>
  <c r="D27" i="89"/>
  <c r="B27" i="89"/>
  <c r="Z26" i="89"/>
  <c r="X26" i="89"/>
  <c r="N26" i="89"/>
  <c r="L26" i="89"/>
  <c r="B26" i="89"/>
  <c r="X25" i="89"/>
  <c r="V25" i="89"/>
  <c r="T25" i="89"/>
  <c r="Z25" i="89" s="1"/>
  <c r="P25" i="89"/>
  <c r="L25" i="89"/>
  <c r="H25" i="89"/>
  <c r="N25" i="89" s="1"/>
  <c r="D25" i="89"/>
  <c r="B25" i="89"/>
  <c r="Z24" i="89"/>
  <c r="X24" i="89"/>
  <c r="V24" i="89"/>
  <c r="N24" i="89"/>
  <c r="L24" i="89"/>
  <c r="B24" i="89"/>
  <c r="Z23" i="89"/>
  <c r="X23" i="89"/>
  <c r="N23" i="89"/>
  <c r="L23" i="89"/>
  <c r="B23" i="89"/>
  <c r="Z22" i="89"/>
  <c r="V22" i="89"/>
  <c r="T22" i="89"/>
  <c r="P22" i="89"/>
  <c r="X22" i="89" s="1"/>
  <c r="N22" i="89"/>
  <c r="J22" i="89"/>
  <c r="H22" i="89"/>
  <c r="D22" i="89"/>
  <c r="L22" i="89" s="1"/>
  <c r="B22" i="89"/>
  <c r="T21" i="89" a="1"/>
  <c r="T21" i="89" s="1"/>
  <c r="Z21" i="89" s="1"/>
  <c r="P21" i="89" a="1"/>
  <c r="P21" i="89" s="1"/>
  <c r="H21" i="89" a="1"/>
  <c r="H21" i="89" s="1"/>
  <c r="N21" i="89" s="1"/>
  <c r="D21" i="89" a="1"/>
  <c r="D21" i="89" s="1"/>
  <c r="T19" i="89"/>
  <c r="D19" i="89"/>
  <c r="Z17" i="89"/>
  <c r="X17" i="89"/>
  <c r="V17" i="89"/>
  <c r="N17" i="89"/>
  <c r="L17" i="89"/>
  <c r="F17" i="89"/>
  <c r="B17" i="89"/>
  <c r="X16" i="89"/>
  <c r="V16" i="89"/>
  <c r="T16" i="89"/>
  <c r="Z16" i="89" s="1"/>
  <c r="P16" i="89"/>
  <c r="N16" i="89"/>
  <c r="H16" i="89"/>
  <c r="D16" i="89"/>
  <c r="L16" i="89" s="1"/>
  <c r="Z14" i="89"/>
  <c r="P14" i="89"/>
  <c r="N14" i="89"/>
  <c r="D14" i="89"/>
  <c r="L14" i="89" s="1"/>
  <c r="B14" i="89"/>
  <c r="Z13" i="89"/>
  <c r="P13" i="89"/>
  <c r="X13" i="89" s="1"/>
  <c r="N13" i="89"/>
  <c r="D13" i="89"/>
  <c r="L13" i="89" s="1"/>
  <c r="B13" i="89"/>
  <c r="Z12" i="89"/>
  <c r="T12" i="89"/>
  <c r="V31" i="89" s="1"/>
  <c r="N12" i="89"/>
  <c r="H12" i="89"/>
  <c r="J25" i="89" s="1"/>
  <c r="D12" i="89"/>
  <c r="F31" i="89" s="1"/>
  <c r="D6" i="89"/>
  <c r="D4" i="89"/>
  <c r="X93" i="88"/>
  <c r="Z93" i="88" s="1"/>
  <c r="L93" i="88"/>
  <c r="N93" i="88" s="1"/>
  <c r="X89" i="88"/>
  <c r="T89" i="88"/>
  <c r="Z89" i="88" s="1"/>
  <c r="P89" i="88"/>
  <c r="H89" i="88"/>
  <c r="N89" i="88" s="1"/>
  <c r="D89" i="88"/>
  <c r="X87" i="88"/>
  <c r="Z87" i="88" s="1"/>
  <c r="N87" i="88"/>
  <c r="L87" i="88"/>
  <c r="B87" i="88"/>
  <c r="X86" i="88"/>
  <c r="T86" i="88"/>
  <c r="Z86" i="88" s="1"/>
  <c r="P86" i="88"/>
  <c r="H86" i="88"/>
  <c r="N86" i="88" s="1"/>
  <c r="D86" i="88"/>
  <c r="B86" i="88"/>
  <c r="X85" i="88"/>
  <c r="Z85" i="88" s="1"/>
  <c r="N85" i="88"/>
  <c r="L85" i="88"/>
  <c r="B85" i="88"/>
  <c r="T84" i="88"/>
  <c r="P84" i="88"/>
  <c r="N84" i="88"/>
  <c r="H84" i="88"/>
  <c r="D84" i="88"/>
  <c r="L84" i="88" s="1"/>
  <c r="B84" i="88"/>
  <c r="X83" i="88"/>
  <c r="Z83" i="88" s="1"/>
  <c r="N83" i="88"/>
  <c r="L83" i="88"/>
  <c r="B83" i="88"/>
  <c r="Z82" i="88"/>
  <c r="X82" i="88"/>
  <c r="N82" i="88"/>
  <c r="L82" i="88"/>
  <c r="B82" i="88"/>
  <c r="Z81" i="88"/>
  <c r="X81" i="88"/>
  <c r="N81" i="88"/>
  <c r="L81" i="88"/>
  <c r="B81" i="88"/>
  <c r="Z80" i="88"/>
  <c r="X80" i="88"/>
  <c r="L80" i="88"/>
  <c r="N80" i="88" s="1"/>
  <c r="B80" i="88"/>
  <c r="X79" i="88"/>
  <c r="Z79" i="88" s="1"/>
  <c r="L79" i="88"/>
  <c r="N79" i="88" s="1"/>
  <c r="B79" i="88"/>
  <c r="X78" i="88"/>
  <c r="Z78" i="88" s="1"/>
  <c r="N78" i="88"/>
  <c r="L78" i="88"/>
  <c r="B78" i="88"/>
  <c r="Z77" i="88"/>
  <c r="X77" i="88"/>
  <c r="N77" i="88"/>
  <c r="L77" i="88"/>
  <c r="B77" i="88"/>
  <c r="Z76" i="88"/>
  <c r="X76" i="88"/>
  <c r="N76" i="88"/>
  <c r="L76" i="88"/>
  <c r="B76" i="88"/>
  <c r="X75" i="88"/>
  <c r="T75" i="88"/>
  <c r="Z75" i="88" s="1"/>
  <c r="P75" i="88"/>
  <c r="H75" i="88"/>
  <c r="D75" i="88"/>
  <c r="B75" i="88"/>
  <c r="X74" i="88"/>
  <c r="Z74" i="88" s="1"/>
  <c r="N74" i="88"/>
  <c r="L74" i="88"/>
  <c r="B74" i="88"/>
  <c r="Z73" i="88"/>
  <c r="X73" i="88"/>
  <c r="L73" i="88"/>
  <c r="N73" i="88" s="1"/>
  <c r="B73" i="88"/>
  <c r="X72" i="88"/>
  <c r="Z72" i="88" s="1"/>
  <c r="N72" i="88"/>
  <c r="L72" i="88"/>
  <c r="B72" i="88"/>
  <c r="X71" i="88"/>
  <c r="Z71" i="88" s="1"/>
  <c r="L71" i="88"/>
  <c r="N71" i="88" s="1"/>
  <c r="B71" i="88"/>
  <c r="Z70" i="88"/>
  <c r="T70" i="88"/>
  <c r="P70" i="88"/>
  <c r="X70" i="88" s="1"/>
  <c r="L70" i="88"/>
  <c r="H70" i="88"/>
  <c r="N70" i="88" s="1"/>
  <c r="D70" i="88"/>
  <c r="B70" i="88"/>
  <c r="Z69" i="88"/>
  <c r="X69" i="88"/>
  <c r="L69" i="88"/>
  <c r="N69" i="88" s="1"/>
  <c r="B69" i="88"/>
  <c r="X68" i="88"/>
  <c r="Z68" i="88" s="1"/>
  <c r="N68" i="88"/>
  <c r="L68" i="88"/>
  <c r="B68" i="88"/>
  <c r="Z67" i="88"/>
  <c r="X67" i="88"/>
  <c r="N67" i="88"/>
  <c r="L67" i="88"/>
  <c r="B67" i="88"/>
  <c r="T66" i="88"/>
  <c r="P66" i="88"/>
  <c r="X66" i="88" s="1"/>
  <c r="Z66" i="88" s="1"/>
  <c r="L66" i="88"/>
  <c r="H66" i="88"/>
  <c r="D66" i="88"/>
  <c r="B66" i="88"/>
  <c r="Z65" i="88"/>
  <c r="X65" i="88"/>
  <c r="L65" i="88"/>
  <c r="N65" i="88" s="1"/>
  <c r="B65" i="88"/>
  <c r="V64" i="88"/>
  <c r="T64" i="88"/>
  <c r="P64" i="88"/>
  <c r="X64" i="88" s="1"/>
  <c r="H64" i="88"/>
  <c r="D64" i="88"/>
  <c r="L64" i="88" s="1"/>
  <c r="N64" i="88" s="1"/>
  <c r="B64" i="88"/>
  <c r="Z63" i="88"/>
  <c r="X63" i="88"/>
  <c r="N63" i="88"/>
  <c r="L63" i="88"/>
  <c r="F63" i="88"/>
  <c r="B63" i="88"/>
  <c r="T62" i="88"/>
  <c r="X62" i="88" s="1"/>
  <c r="Z62" i="88" s="1"/>
  <c r="P62" i="88"/>
  <c r="L62" i="88"/>
  <c r="H62" i="88"/>
  <c r="N62" i="88" s="1"/>
  <c r="D62" i="88"/>
  <c r="B62" i="88"/>
  <c r="Z61" i="88"/>
  <c r="X61" i="88"/>
  <c r="N61" i="88"/>
  <c r="L61" i="88"/>
  <c r="B61" i="88"/>
  <c r="V60" i="88"/>
  <c r="T60" i="88"/>
  <c r="Z60" i="88" s="1"/>
  <c r="P60" i="88"/>
  <c r="X60" i="88" s="1"/>
  <c r="H60" i="88"/>
  <c r="D60" i="88"/>
  <c r="L60" i="88" s="1"/>
  <c r="N60" i="88" s="1"/>
  <c r="B60" i="88"/>
  <c r="Z59" i="88"/>
  <c r="X59" i="88"/>
  <c r="N59" i="88"/>
  <c r="L59" i="88"/>
  <c r="J59" i="88"/>
  <c r="B59" i="88"/>
  <c r="T58" i="88"/>
  <c r="P58" i="88"/>
  <c r="X58" i="88" s="1"/>
  <c r="Z58" i="88" s="1"/>
  <c r="L58" i="88"/>
  <c r="H58" i="88"/>
  <c r="N58" i="88" s="1"/>
  <c r="D58" i="88"/>
  <c r="B58" i="88"/>
  <c r="Z57" i="88"/>
  <c r="X57" i="88"/>
  <c r="N57" i="88"/>
  <c r="L57" i="88"/>
  <c r="B57" i="88"/>
  <c r="X56" i="88"/>
  <c r="T56" i="88"/>
  <c r="Z56" i="88" s="1"/>
  <c r="P56" i="88"/>
  <c r="L56" i="88"/>
  <c r="H56" i="88"/>
  <c r="N56" i="88" s="1"/>
  <c r="D56" i="88"/>
  <c r="B56" i="88"/>
  <c r="Z55" i="88"/>
  <c r="X55" i="88"/>
  <c r="V55" i="88"/>
  <c r="N55" i="88"/>
  <c r="L55" i="88"/>
  <c r="B55" i="88"/>
  <c r="X54" i="88"/>
  <c r="T54" i="88"/>
  <c r="Z54" i="88" s="1"/>
  <c r="P54" i="88"/>
  <c r="H54" i="88"/>
  <c r="N54" i="88" s="1"/>
  <c r="D54" i="88"/>
  <c r="B54" i="88"/>
  <c r="Z53" i="88"/>
  <c r="X53" i="88"/>
  <c r="N53" i="88"/>
  <c r="L53" i="88"/>
  <c r="B53" i="88"/>
  <c r="T52" i="88"/>
  <c r="P52" i="88"/>
  <c r="H52" i="88"/>
  <c r="D52" i="88"/>
  <c r="L52" i="88" s="1"/>
  <c r="N52" i="88" s="1"/>
  <c r="B52" i="88"/>
  <c r="Z51" i="88"/>
  <c r="X51" i="88"/>
  <c r="L51" i="88"/>
  <c r="N51" i="88" s="1"/>
  <c r="J51" i="88"/>
  <c r="B51" i="88"/>
  <c r="T50" i="88"/>
  <c r="P50" i="88"/>
  <c r="X50" i="88" s="1"/>
  <c r="Z50" i="88" s="1"/>
  <c r="L50" i="88"/>
  <c r="H50" i="88"/>
  <c r="N50" i="88" s="1"/>
  <c r="D50" i="88"/>
  <c r="B50" i="88"/>
  <c r="Z49" i="88"/>
  <c r="X49" i="88"/>
  <c r="N49" i="88"/>
  <c r="L49" i="88"/>
  <c r="B49" i="88"/>
  <c r="X48" i="88"/>
  <c r="T48" i="88"/>
  <c r="Z48" i="88" s="1"/>
  <c r="P48" i="88"/>
  <c r="L48" i="88"/>
  <c r="H48" i="88"/>
  <c r="D48" i="88"/>
  <c r="B48" i="88"/>
  <c r="Z47" i="88"/>
  <c r="X47" i="88"/>
  <c r="V47" i="88"/>
  <c r="N47" i="88"/>
  <c r="L47" i="88"/>
  <c r="B47" i="88"/>
  <c r="Z46" i="88"/>
  <c r="X46" i="88"/>
  <c r="N46" i="88"/>
  <c r="L46" i="88"/>
  <c r="B46" i="88"/>
  <c r="Z45" i="88"/>
  <c r="X45" i="88"/>
  <c r="N45" i="88"/>
  <c r="L45" i="88"/>
  <c r="B45" i="88"/>
  <c r="Z44" i="88"/>
  <c r="X44" i="88"/>
  <c r="N44" i="88"/>
  <c r="L44" i="88"/>
  <c r="F44" i="88"/>
  <c r="B44" i="88"/>
  <c r="Z43" i="88"/>
  <c r="X43" i="88"/>
  <c r="N43" i="88"/>
  <c r="L43" i="88"/>
  <c r="J43" i="88"/>
  <c r="B43" i="88"/>
  <c r="Z42" i="88"/>
  <c r="X42" i="88"/>
  <c r="N42" i="88"/>
  <c r="L42" i="88"/>
  <c r="B42" i="88"/>
  <c r="Z41" i="88"/>
  <c r="X41" i="88"/>
  <c r="N41" i="88"/>
  <c r="L41" i="88"/>
  <c r="B41" i="88"/>
  <c r="Z40" i="88"/>
  <c r="X40" i="88"/>
  <c r="N40" i="88"/>
  <c r="L40" i="88"/>
  <c r="B40" i="88"/>
  <c r="Z39" i="88"/>
  <c r="X39" i="88"/>
  <c r="V39" i="88"/>
  <c r="N39" i="88"/>
  <c r="L39" i="88"/>
  <c r="B39" i="88"/>
  <c r="Z38" i="88"/>
  <c r="X38" i="88"/>
  <c r="N38" i="88"/>
  <c r="L38" i="88"/>
  <c r="B38" i="88"/>
  <c r="Z37" i="88"/>
  <c r="T37" i="88"/>
  <c r="P37" i="88"/>
  <c r="X37" i="88" s="1"/>
  <c r="J37" i="88"/>
  <c r="H37" i="88"/>
  <c r="D37" i="88"/>
  <c r="L37" i="88" s="1"/>
  <c r="B37" i="88"/>
  <c r="Z36" i="88"/>
  <c r="X36" i="88"/>
  <c r="N36" i="88"/>
  <c r="L36" i="88"/>
  <c r="B36" i="88"/>
  <c r="Z35" i="88"/>
  <c r="X35" i="88"/>
  <c r="V35" i="88"/>
  <c r="N35" i="88"/>
  <c r="L35" i="88"/>
  <c r="B35" i="88"/>
  <c r="X34" i="88"/>
  <c r="Z34" i="88" s="1"/>
  <c r="L34" i="88"/>
  <c r="N34" i="88" s="1"/>
  <c r="B34" i="88"/>
  <c r="Z33" i="88"/>
  <c r="X33" i="88"/>
  <c r="N33" i="88"/>
  <c r="L33" i="88"/>
  <c r="B33" i="88"/>
  <c r="Z32" i="88"/>
  <c r="X32" i="88"/>
  <c r="N32" i="88"/>
  <c r="L32" i="88"/>
  <c r="F32" i="88"/>
  <c r="B32" i="88"/>
  <c r="Z31" i="88"/>
  <c r="X31" i="88"/>
  <c r="N31" i="88"/>
  <c r="L31" i="88"/>
  <c r="J31" i="88"/>
  <c r="B31" i="88"/>
  <c r="X30" i="88"/>
  <c r="Z30" i="88" s="1"/>
  <c r="L30" i="88"/>
  <c r="N30" i="88" s="1"/>
  <c r="B30" i="88"/>
  <c r="Z29" i="88"/>
  <c r="X29" i="88"/>
  <c r="N29" i="88"/>
  <c r="L29" i="88"/>
  <c r="B29" i="88"/>
  <c r="Z28" i="88"/>
  <c r="X28" i="88"/>
  <c r="L28" i="88"/>
  <c r="N28" i="88" s="1"/>
  <c r="B28" i="88"/>
  <c r="Z27" i="88"/>
  <c r="X27" i="88"/>
  <c r="V27" i="88"/>
  <c r="N27" i="88"/>
  <c r="L27" i="88"/>
  <c r="B27" i="88"/>
  <c r="X26" i="88"/>
  <c r="T26" i="88"/>
  <c r="Z26" i="88" s="1"/>
  <c r="P26" i="88"/>
  <c r="H26" i="88"/>
  <c r="D26" i="88"/>
  <c r="B26" i="88"/>
  <c r="T25" i="88" a="1"/>
  <c r="T25" i="88" s="1"/>
  <c r="P25" i="88" a="1"/>
  <c r="P25" i="88" s="1"/>
  <c r="H25" i="88" a="1"/>
  <c r="H25" i="88" s="1"/>
  <c r="D25" i="88" a="1"/>
  <c r="D25" i="88" s="1"/>
  <c r="T23" i="88"/>
  <c r="Z21" i="88"/>
  <c r="X21" i="88"/>
  <c r="V21" i="88"/>
  <c r="N21" i="88"/>
  <c r="L21" i="88"/>
  <c r="B21" i="88"/>
  <c r="Z20" i="88"/>
  <c r="X20" i="88"/>
  <c r="N20" i="88"/>
  <c r="L20" i="88"/>
  <c r="J20" i="88"/>
  <c r="F20" i="88"/>
  <c r="B20" i="88"/>
  <c r="Z19" i="88"/>
  <c r="X19" i="88"/>
  <c r="L19" i="88"/>
  <c r="N19" i="88" s="1"/>
  <c r="J19" i="88"/>
  <c r="B19" i="88"/>
  <c r="T18" i="88"/>
  <c r="P18" i="88"/>
  <c r="X18" i="88" s="1"/>
  <c r="Z18" i="88" s="1"/>
  <c r="L18" i="88"/>
  <c r="H18" i="88"/>
  <c r="N18" i="88" s="1"/>
  <c r="D18" i="88"/>
  <c r="Z16" i="88"/>
  <c r="X16" i="88"/>
  <c r="P16" i="88"/>
  <c r="N16" i="88"/>
  <c r="D16" i="88"/>
  <c r="L16" i="88" s="1"/>
  <c r="B16" i="88"/>
  <c r="Z15" i="88"/>
  <c r="P15" i="88"/>
  <c r="X15" i="88" s="1"/>
  <c r="N15" i="88"/>
  <c r="L15" i="88"/>
  <c r="D15" i="88"/>
  <c r="B15" i="88"/>
  <c r="P14" i="88"/>
  <c r="X14" i="88" s="1"/>
  <c r="Z14" i="88" s="1"/>
  <c r="D14" i="88"/>
  <c r="L14" i="88" s="1"/>
  <c r="N14" i="88" s="1"/>
  <c r="B14" i="88"/>
  <c r="Z13" i="88"/>
  <c r="X13" i="88"/>
  <c r="P13" i="88"/>
  <c r="N13" i="88"/>
  <c r="L13" i="88"/>
  <c r="D13" i="88"/>
  <c r="B13" i="88"/>
  <c r="T12" i="88"/>
  <c r="V68" i="88" s="1"/>
  <c r="L12" i="88"/>
  <c r="N12" i="88" s="1"/>
  <c r="H12" i="88"/>
  <c r="J53" i="88" s="1"/>
  <c r="D12" i="88"/>
  <c r="F85" i="88" s="1"/>
  <c r="D6" i="88"/>
  <c r="D4" i="88"/>
  <c r="Z61" i="87"/>
  <c r="X61" i="87"/>
  <c r="R61" i="87"/>
  <c r="N61" i="87"/>
  <c r="L61" i="87"/>
  <c r="X57" i="87"/>
  <c r="T57" i="87"/>
  <c r="Z57" i="87" s="1"/>
  <c r="P57" i="87"/>
  <c r="L57" i="87"/>
  <c r="H57" i="87"/>
  <c r="N57" i="87" s="1"/>
  <c r="D57" i="87"/>
  <c r="Z55" i="87"/>
  <c r="X55" i="87"/>
  <c r="N55" i="87"/>
  <c r="L55" i="87"/>
  <c r="B55" i="87"/>
  <c r="Z54" i="87"/>
  <c r="X54" i="87"/>
  <c r="T54" i="87"/>
  <c r="P54" i="87"/>
  <c r="H54" i="87"/>
  <c r="N54" i="87" s="1"/>
  <c r="D54" i="87"/>
  <c r="L54" i="87" s="1"/>
  <c r="B54" i="87"/>
  <c r="X53" i="87"/>
  <c r="Z53" i="87" s="1"/>
  <c r="L53" i="87"/>
  <c r="N53" i="87" s="1"/>
  <c r="B53" i="87"/>
  <c r="T52" i="87"/>
  <c r="P52" i="87"/>
  <c r="X52" i="87" s="1"/>
  <c r="H52" i="87"/>
  <c r="D52" i="87"/>
  <c r="L52" i="87" s="1"/>
  <c r="N52" i="87" s="1"/>
  <c r="B52" i="87"/>
  <c r="X51" i="87"/>
  <c r="Z51" i="87" s="1"/>
  <c r="L51" i="87"/>
  <c r="N51" i="87" s="1"/>
  <c r="B51" i="87"/>
  <c r="Z50" i="87"/>
  <c r="X50" i="87"/>
  <c r="L50" i="87"/>
  <c r="N50" i="87" s="1"/>
  <c r="B50" i="87"/>
  <c r="T49" i="87"/>
  <c r="Z49" i="87" s="1"/>
  <c r="P49" i="87"/>
  <c r="X49" i="87" s="1"/>
  <c r="L49" i="87"/>
  <c r="H49" i="87"/>
  <c r="N49" i="87" s="1"/>
  <c r="D49" i="87"/>
  <c r="B49" i="87"/>
  <c r="Z48" i="87"/>
  <c r="X48" i="87"/>
  <c r="N48" i="87"/>
  <c r="L48" i="87"/>
  <c r="B48" i="87"/>
  <c r="X47" i="87"/>
  <c r="Z47" i="87" s="1"/>
  <c r="L47" i="87"/>
  <c r="N47" i="87" s="1"/>
  <c r="B47" i="87"/>
  <c r="T46" i="87"/>
  <c r="P46" i="87"/>
  <c r="X46" i="87" s="1"/>
  <c r="Z46" i="87" s="1"/>
  <c r="N46" i="87"/>
  <c r="L46" i="87"/>
  <c r="H46" i="87"/>
  <c r="D46" i="87"/>
  <c r="B46" i="87"/>
  <c r="X45" i="87"/>
  <c r="Z45" i="87" s="1"/>
  <c r="L45" i="87"/>
  <c r="N45" i="87" s="1"/>
  <c r="B45" i="87"/>
  <c r="Z44" i="87"/>
  <c r="X44" i="87"/>
  <c r="T44" i="87"/>
  <c r="P44" i="87"/>
  <c r="L44" i="87"/>
  <c r="H44" i="87"/>
  <c r="N44" i="87" s="1"/>
  <c r="D44" i="87"/>
  <c r="B44" i="87"/>
  <c r="X43" i="87"/>
  <c r="Z43" i="87" s="1"/>
  <c r="L43" i="87"/>
  <c r="N43" i="87" s="1"/>
  <c r="B43" i="87"/>
  <c r="X42" i="87"/>
  <c r="T42" i="87"/>
  <c r="Z42" i="87" s="1"/>
  <c r="P42" i="87"/>
  <c r="H42" i="87"/>
  <c r="D42" i="87"/>
  <c r="L42" i="87" s="1"/>
  <c r="B42" i="87"/>
  <c r="Z41" i="87"/>
  <c r="X41" i="87"/>
  <c r="N41" i="87"/>
  <c r="L41" i="87"/>
  <c r="B41" i="87"/>
  <c r="T40" i="87"/>
  <c r="Z40" i="87" s="1"/>
  <c r="R40" i="87"/>
  <c r="P40" i="87"/>
  <c r="X40" i="87" s="1"/>
  <c r="N40" i="87"/>
  <c r="H40" i="87"/>
  <c r="D40" i="87"/>
  <c r="L40" i="87" s="1"/>
  <c r="B40" i="87"/>
  <c r="Z39" i="87"/>
  <c r="X39" i="87"/>
  <c r="N39" i="87"/>
  <c r="L39" i="87"/>
  <c r="B39" i="87"/>
  <c r="Z38" i="87"/>
  <c r="X38" i="87"/>
  <c r="N38" i="87"/>
  <c r="L38" i="87"/>
  <c r="J38" i="87"/>
  <c r="B38" i="87"/>
  <c r="Z37" i="87"/>
  <c r="X37" i="87"/>
  <c r="N37" i="87"/>
  <c r="L37" i="87"/>
  <c r="B37" i="87"/>
  <c r="Z36" i="87"/>
  <c r="X36" i="87"/>
  <c r="N36" i="87"/>
  <c r="L36" i="87"/>
  <c r="B36" i="87"/>
  <c r="Z35" i="87"/>
  <c r="X35" i="87"/>
  <c r="R35" i="87"/>
  <c r="N35" i="87"/>
  <c r="L35" i="87"/>
  <c r="B35" i="87"/>
  <c r="Z34" i="87"/>
  <c r="X34" i="87"/>
  <c r="N34" i="87"/>
  <c r="L34" i="87"/>
  <c r="B34" i="87"/>
  <c r="Z33" i="87"/>
  <c r="X33" i="87"/>
  <c r="R33" i="87"/>
  <c r="N33" i="87"/>
  <c r="L33" i="87"/>
  <c r="B33" i="87"/>
  <c r="Z32" i="87"/>
  <c r="X32" i="87"/>
  <c r="N32" i="87"/>
  <c r="L32" i="87"/>
  <c r="B32" i="87"/>
  <c r="X31" i="87"/>
  <c r="Z31" i="87" s="1"/>
  <c r="L31" i="87"/>
  <c r="N31" i="87" s="1"/>
  <c r="F31" i="87"/>
  <c r="B31" i="87"/>
  <c r="Z30" i="87"/>
  <c r="X30" i="87"/>
  <c r="N30" i="87"/>
  <c r="L30" i="87"/>
  <c r="B30" i="87"/>
  <c r="T29" i="87"/>
  <c r="Z29" i="87" s="1"/>
  <c r="P29" i="87"/>
  <c r="X29" i="87" s="1"/>
  <c r="L29" i="87"/>
  <c r="N29" i="87" s="1"/>
  <c r="H29" i="87"/>
  <c r="D29" i="87"/>
  <c r="B29" i="87"/>
  <c r="Z28" i="87"/>
  <c r="X28" i="87"/>
  <c r="V28" i="87"/>
  <c r="N28" i="87"/>
  <c r="L28" i="87"/>
  <c r="B28" i="87"/>
  <c r="X27" i="87"/>
  <c r="Z27" i="87" s="1"/>
  <c r="L27" i="87"/>
  <c r="N27" i="87" s="1"/>
  <c r="B27" i="87"/>
  <c r="Z26" i="87"/>
  <c r="X26" i="87"/>
  <c r="L26" i="87"/>
  <c r="N26" i="87" s="1"/>
  <c r="B26" i="87"/>
  <c r="Z25" i="87"/>
  <c r="X25" i="87"/>
  <c r="N25" i="87"/>
  <c r="L25" i="87"/>
  <c r="B25" i="87"/>
  <c r="Z24" i="87"/>
  <c r="X24" i="87"/>
  <c r="N24" i="87"/>
  <c r="L24" i="87"/>
  <c r="B24" i="87"/>
  <c r="X23" i="87"/>
  <c r="Z23" i="87" s="1"/>
  <c r="L23" i="87"/>
  <c r="N23" i="87" s="1"/>
  <c r="B23" i="87"/>
  <c r="X22" i="87"/>
  <c r="Z22" i="87" s="1"/>
  <c r="N22" i="87"/>
  <c r="L22" i="87"/>
  <c r="B22" i="87"/>
  <c r="X21" i="87"/>
  <c r="Z21" i="87" s="1"/>
  <c r="L21" i="87"/>
  <c r="N21" i="87" s="1"/>
  <c r="B21" i="87"/>
  <c r="Z20" i="87"/>
  <c r="X20" i="87"/>
  <c r="V20" i="87"/>
  <c r="N20" i="87"/>
  <c r="L20" i="87"/>
  <c r="B20" i="87"/>
  <c r="X19" i="87"/>
  <c r="T19" i="87"/>
  <c r="Z19" i="87" s="1"/>
  <c r="P19" i="87"/>
  <c r="N19" i="87"/>
  <c r="H19" i="87"/>
  <c r="D19" i="87"/>
  <c r="L19" i="87" s="1"/>
  <c r="B19" i="87"/>
  <c r="T18" i="87" a="1"/>
  <c r="T18" i="87"/>
  <c r="P18" i="87" a="1"/>
  <c r="P18" i="87" s="1"/>
  <c r="J18" i="87"/>
  <c r="H18" i="87" a="1"/>
  <c r="H18" i="87" s="1"/>
  <c r="D18" i="87" a="1"/>
  <c r="D18" i="87" s="1"/>
  <c r="F16" i="87"/>
  <c r="Z14" i="87"/>
  <c r="T14" i="87"/>
  <c r="P14" i="87"/>
  <c r="X14" i="87" s="1"/>
  <c r="N14" i="87"/>
  <c r="L14" i="87"/>
  <c r="H14" i="87"/>
  <c r="F14" i="87"/>
  <c r="D14" i="87"/>
  <c r="T12" i="87"/>
  <c r="P12" i="87"/>
  <c r="R23" i="87" s="1"/>
  <c r="H12" i="87"/>
  <c r="J30" i="87" s="1"/>
  <c r="D12" i="87"/>
  <c r="F37" i="87" s="1"/>
  <c r="D6" i="87"/>
  <c r="D4" i="87"/>
  <c r="J43" i="86"/>
  <c r="J40" i="86"/>
  <c r="Z38" i="86"/>
  <c r="X38" i="86"/>
  <c r="N38" i="86"/>
  <c r="L38" i="86"/>
  <c r="J36" i="86"/>
  <c r="Z34" i="86"/>
  <c r="T34" i="86"/>
  <c r="R34" i="86"/>
  <c r="P34" i="86"/>
  <c r="X34" i="86" s="1"/>
  <c r="N34" i="86"/>
  <c r="J34" i="86"/>
  <c r="H34" i="86"/>
  <c r="D34" i="86"/>
  <c r="L34" i="86" s="1"/>
  <c r="Z32" i="86"/>
  <c r="X32" i="86"/>
  <c r="N32" i="86"/>
  <c r="L32" i="86"/>
  <c r="B32" i="86"/>
  <c r="T31" i="86"/>
  <c r="Z31" i="86" s="1"/>
  <c r="P31" i="86"/>
  <c r="X31" i="86" s="1"/>
  <c r="N31" i="86"/>
  <c r="L31" i="86"/>
  <c r="H31" i="86"/>
  <c r="D31" i="86"/>
  <c r="B31" i="86"/>
  <c r="Z30" i="86"/>
  <c r="X30" i="86"/>
  <c r="V30" i="86"/>
  <c r="N30" i="86"/>
  <c r="L30" i="86"/>
  <c r="J30" i="86"/>
  <c r="B30" i="86"/>
  <c r="Z29" i="86"/>
  <c r="X29" i="86"/>
  <c r="T29" i="86"/>
  <c r="P29" i="86"/>
  <c r="H29" i="86"/>
  <c r="D29" i="86"/>
  <c r="B29" i="86"/>
  <c r="Z28" i="86"/>
  <c r="X28" i="86"/>
  <c r="N28" i="86"/>
  <c r="L28" i="86"/>
  <c r="B28" i="86"/>
  <c r="T27" i="86"/>
  <c r="P27" i="86"/>
  <c r="H27" i="86"/>
  <c r="N27" i="86" s="1"/>
  <c r="D27" i="86"/>
  <c r="L27" i="86" s="1"/>
  <c r="B27" i="86"/>
  <c r="Z26" i="86"/>
  <c r="X26" i="86"/>
  <c r="V26" i="86"/>
  <c r="N26" i="86"/>
  <c r="L26" i="86"/>
  <c r="J26" i="86"/>
  <c r="B26" i="86"/>
  <c r="T25" i="86"/>
  <c r="Z25" i="86" s="1"/>
  <c r="P25" i="86"/>
  <c r="X25" i="86" s="1"/>
  <c r="H25" i="86"/>
  <c r="N25" i="86" s="1"/>
  <c r="D25" i="86"/>
  <c r="L25" i="86" s="1"/>
  <c r="B25" i="86"/>
  <c r="Z24" i="86"/>
  <c r="X24" i="86"/>
  <c r="N24" i="86"/>
  <c r="L24" i="86"/>
  <c r="B24" i="86"/>
  <c r="T23" i="86"/>
  <c r="P23" i="86"/>
  <c r="X23" i="86" s="1"/>
  <c r="L23" i="86"/>
  <c r="H23" i="86"/>
  <c r="D23" i="86"/>
  <c r="B23" i="86"/>
  <c r="Z22" i="86"/>
  <c r="X22" i="86"/>
  <c r="V22" i="86"/>
  <c r="N22" i="86"/>
  <c r="L22" i="86"/>
  <c r="J22" i="86"/>
  <c r="B22" i="86"/>
  <c r="X21" i="86"/>
  <c r="T21" i="86"/>
  <c r="Z21" i="86" s="1"/>
  <c r="P21" i="86"/>
  <c r="H21" i="86"/>
  <c r="N21" i="86" s="1"/>
  <c r="D21" i="86"/>
  <c r="B21" i="86"/>
  <c r="T20" i="86" a="1"/>
  <c r="T20" i="86"/>
  <c r="P20" i="86" a="1"/>
  <c r="P20" i="86" s="1"/>
  <c r="X20" i="86" s="1"/>
  <c r="H20" i="86" a="1"/>
  <c r="H20" i="86"/>
  <c r="D20" i="86" a="1"/>
  <c r="D20" i="86" s="1"/>
  <c r="J18" i="86"/>
  <c r="Z16" i="86"/>
  <c r="X16" i="86"/>
  <c r="V16" i="86"/>
  <c r="N16" i="86"/>
  <c r="L16" i="86"/>
  <c r="B16" i="86"/>
  <c r="T15" i="86"/>
  <c r="Z15" i="86" s="1"/>
  <c r="P15" i="86"/>
  <c r="L15" i="86"/>
  <c r="H15" i="86"/>
  <c r="N15" i="86" s="1"/>
  <c r="D15" i="86"/>
  <c r="Z13" i="86"/>
  <c r="P13" i="86"/>
  <c r="X13" i="86" s="1"/>
  <c r="N13" i="86"/>
  <c r="D13" i="86"/>
  <c r="L13" i="86" s="1"/>
  <c r="B13" i="86"/>
  <c r="Z12" i="86"/>
  <c r="T12" i="86"/>
  <c r="V29" i="86" s="1"/>
  <c r="P12" i="86"/>
  <c r="R30" i="86" s="1"/>
  <c r="N12" i="86"/>
  <c r="H12" i="86"/>
  <c r="J31" i="86" s="1"/>
  <c r="D6" i="86"/>
  <c r="D4" i="86"/>
  <c r="V35" i="85"/>
  <c r="F35" i="85"/>
  <c r="V32" i="85"/>
  <c r="F32" i="85"/>
  <c r="Z30" i="85"/>
  <c r="X30" i="85"/>
  <c r="V30" i="85"/>
  <c r="N30" i="85"/>
  <c r="L30" i="85"/>
  <c r="J30" i="85"/>
  <c r="V28" i="85"/>
  <c r="F28" i="85"/>
  <c r="Z26" i="85"/>
  <c r="V26" i="85"/>
  <c r="T26" i="85"/>
  <c r="P26" i="85"/>
  <c r="X26" i="85" s="1"/>
  <c r="N26" i="85"/>
  <c r="H26" i="85"/>
  <c r="F26" i="85"/>
  <c r="D26" i="85"/>
  <c r="L26" i="85" s="1"/>
  <c r="Z24" i="85"/>
  <c r="X24" i="85"/>
  <c r="V24" i="85"/>
  <c r="N24" i="85"/>
  <c r="L24" i="85"/>
  <c r="J24" i="85"/>
  <c r="B24" i="85"/>
  <c r="X23" i="85"/>
  <c r="T23" i="85"/>
  <c r="Z23" i="85" s="1"/>
  <c r="P23" i="85"/>
  <c r="H23" i="85"/>
  <c r="N23" i="85" s="1"/>
  <c r="D23" i="85"/>
  <c r="L23" i="85" s="1"/>
  <c r="B23" i="85"/>
  <c r="Z22" i="85"/>
  <c r="X22" i="85"/>
  <c r="N22" i="85"/>
  <c r="L22" i="85"/>
  <c r="B22" i="85"/>
  <c r="T21" i="85"/>
  <c r="Z21" i="85" s="1"/>
  <c r="P21" i="85"/>
  <c r="X21" i="85" s="1"/>
  <c r="N21" i="85"/>
  <c r="H21" i="85"/>
  <c r="D21" i="85"/>
  <c r="L21" i="85" s="1"/>
  <c r="B21" i="85"/>
  <c r="Z20" i="85"/>
  <c r="X20" i="85"/>
  <c r="V20" i="85"/>
  <c r="L20" i="85"/>
  <c r="N20" i="85" s="1"/>
  <c r="J20" i="85"/>
  <c r="B20" i="85"/>
  <c r="T19" i="85"/>
  <c r="P19" i="85"/>
  <c r="X19" i="85" s="1"/>
  <c r="Z19" i="85" s="1"/>
  <c r="H19" i="85"/>
  <c r="D19" i="85"/>
  <c r="B19" i="85"/>
  <c r="T18" i="85" a="1"/>
  <c r="T18" i="85"/>
  <c r="P18" i="85" a="1"/>
  <c r="P18" i="85" s="1"/>
  <c r="H18" i="85" a="1"/>
  <c r="H18" i="85" s="1"/>
  <c r="D18" i="85" a="1"/>
  <c r="D18" i="85" s="1"/>
  <c r="R16" i="85"/>
  <c r="J16" i="85"/>
  <c r="F16" i="85"/>
  <c r="D16" i="85"/>
  <c r="D28" i="85" s="1"/>
  <c r="Z14" i="85"/>
  <c r="V14" i="85"/>
  <c r="T14" i="85"/>
  <c r="R14" i="85"/>
  <c r="P14" i="85"/>
  <c r="X14" i="85" s="1"/>
  <c r="N14" i="85"/>
  <c r="L14" i="85"/>
  <c r="J14" i="85"/>
  <c r="H14" i="85"/>
  <c r="F14" i="85"/>
  <c r="D14" i="85"/>
  <c r="Z12" i="85"/>
  <c r="T12" i="85"/>
  <c r="V23" i="85" s="1"/>
  <c r="P12" i="85"/>
  <c r="R30" i="85" s="1"/>
  <c r="N12" i="85"/>
  <c r="H12" i="85"/>
  <c r="H16" i="85" s="1"/>
  <c r="D12" i="85"/>
  <c r="F23" i="85" s="1"/>
  <c r="D6" i="85"/>
  <c r="D4" i="85"/>
  <c r="V57" i="84"/>
  <c r="F57" i="84"/>
  <c r="Z55" i="84"/>
  <c r="X55" i="84"/>
  <c r="N55" i="84"/>
  <c r="L55" i="84"/>
  <c r="J55" i="84"/>
  <c r="V51" i="84"/>
  <c r="P51" i="84"/>
  <c r="X51" i="84" s="1"/>
  <c r="Z51" i="84" s="1"/>
  <c r="L51" i="84"/>
  <c r="N51" i="84" s="1"/>
  <c r="D51" i="84"/>
  <c r="B51" i="84"/>
  <c r="X50" i="84"/>
  <c r="Z50" i="84" s="1"/>
  <c r="P50" i="84"/>
  <c r="J50" i="84"/>
  <c r="D50" i="84"/>
  <c r="L50" i="84" s="1"/>
  <c r="N50" i="84" s="1"/>
  <c r="B50" i="84"/>
  <c r="P49" i="84"/>
  <c r="N49" i="84"/>
  <c r="L49" i="84"/>
  <c r="F49" i="84"/>
  <c r="D49" i="84"/>
  <c r="B49" i="84"/>
  <c r="T48" i="84"/>
  <c r="H48" i="84"/>
  <c r="D48" i="84"/>
  <c r="Z46" i="84"/>
  <c r="X46" i="84"/>
  <c r="N46" i="84"/>
  <c r="L46" i="84"/>
  <c r="B46" i="84"/>
  <c r="Z45" i="84"/>
  <c r="T45" i="84"/>
  <c r="R45" i="84"/>
  <c r="P45" i="84"/>
  <c r="X45" i="84" s="1"/>
  <c r="N45" i="84"/>
  <c r="L45" i="84"/>
  <c r="H45" i="84"/>
  <c r="D45" i="84"/>
  <c r="B45" i="84"/>
  <c r="Z44" i="84"/>
  <c r="X44" i="84"/>
  <c r="N44" i="84"/>
  <c r="L44" i="84"/>
  <c r="F44" i="84"/>
  <c r="B44" i="84"/>
  <c r="X43" i="84"/>
  <c r="V43" i="84"/>
  <c r="T43" i="84"/>
  <c r="Z43" i="84" s="1"/>
  <c r="P43" i="84"/>
  <c r="N43" i="84"/>
  <c r="H43" i="84"/>
  <c r="F43" i="84"/>
  <c r="D43" i="84"/>
  <c r="L43" i="84" s="1"/>
  <c r="B43" i="84"/>
  <c r="Z42" i="84"/>
  <c r="X42" i="84"/>
  <c r="N42" i="84"/>
  <c r="L42" i="84"/>
  <c r="B42" i="84"/>
  <c r="Z41" i="84"/>
  <c r="T41" i="84"/>
  <c r="P41" i="84"/>
  <c r="X41" i="84" s="1"/>
  <c r="N41" i="84"/>
  <c r="J41" i="84"/>
  <c r="H41" i="84"/>
  <c r="D41" i="84"/>
  <c r="L41" i="84" s="1"/>
  <c r="B41" i="84"/>
  <c r="Z40" i="84"/>
  <c r="X40" i="84"/>
  <c r="R40" i="84"/>
  <c r="N40" i="84"/>
  <c r="L40" i="84"/>
  <c r="F40" i="84"/>
  <c r="B40" i="84"/>
  <c r="Z39" i="84"/>
  <c r="V39" i="84"/>
  <c r="T39" i="84"/>
  <c r="P39" i="84"/>
  <c r="X39" i="84" s="1"/>
  <c r="N39" i="84"/>
  <c r="H39" i="84"/>
  <c r="F39" i="84"/>
  <c r="D39" i="84"/>
  <c r="L39" i="84" s="1"/>
  <c r="B39" i="84"/>
  <c r="Z38" i="84"/>
  <c r="X38" i="84"/>
  <c r="N38" i="84"/>
  <c r="L38" i="84"/>
  <c r="B38" i="84"/>
  <c r="Z37" i="84"/>
  <c r="X37" i="84"/>
  <c r="N37" i="84"/>
  <c r="L37" i="84"/>
  <c r="B37" i="84"/>
  <c r="Z36" i="84"/>
  <c r="X36" i="84"/>
  <c r="R36" i="84"/>
  <c r="N36" i="84"/>
  <c r="L36" i="84"/>
  <c r="F36" i="84"/>
  <c r="B36" i="84"/>
  <c r="Z35" i="84"/>
  <c r="X35" i="84"/>
  <c r="V35" i="84"/>
  <c r="N35" i="84"/>
  <c r="L35" i="84"/>
  <c r="J35" i="84"/>
  <c r="B35" i="84"/>
  <c r="Z34" i="84"/>
  <c r="X34" i="84"/>
  <c r="N34" i="84"/>
  <c r="L34" i="84"/>
  <c r="B34" i="84"/>
  <c r="Z33" i="84"/>
  <c r="X33" i="84"/>
  <c r="N33" i="84"/>
  <c r="L33" i="84"/>
  <c r="B33" i="84"/>
  <c r="Z32" i="84"/>
  <c r="X32" i="84"/>
  <c r="R32" i="84"/>
  <c r="N32" i="84"/>
  <c r="L32" i="84"/>
  <c r="F32" i="84"/>
  <c r="B32" i="84"/>
  <c r="Z31" i="84"/>
  <c r="X31" i="84"/>
  <c r="V31" i="84"/>
  <c r="N31" i="84"/>
  <c r="L31" i="84"/>
  <c r="J31" i="84"/>
  <c r="B31" i="84"/>
  <c r="Z30" i="84"/>
  <c r="X30" i="84"/>
  <c r="N30" i="84"/>
  <c r="L30" i="84"/>
  <c r="B30" i="84"/>
  <c r="Z29" i="84"/>
  <c r="X29" i="84"/>
  <c r="N29" i="84"/>
  <c r="L29" i="84"/>
  <c r="B29" i="84"/>
  <c r="T28" i="84"/>
  <c r="Z28" i="84" s="1"/>
  <c r="P28" i="84"/>
  <c r="X28" i="84" s="1"/>
  <c r="N28" i="84"/>
  <c r="L28" i="84"/>
  <c r="H28" i="84"/>
  <c r="D28" i="84"/>
  <c r="B28" i="84"/>
  <c r="Z27" i="84"/>
  <c r="X27" i="84"/>
  <c r="V27" i="84"/>
  <c r="N27" i="84"/>
  <c r="L27" i="84"/>
  <c r="J27" i="84"/>
  <c r="B27" i="84"/>
  <c r="Z26" i="84"/>
  <c r="X26" i="84"/>
  <c r="N26" i="84"/>
  <c r="L26" i="84"/>
  <c r="B26" i="84"/>
  <c r="Z25" i="84"/>
  <c r="X25" i="84"/>
  <c r="N25" i="84"/>
  <c r="L25" i="84"/>
  <c r="B25" i="84"/>
  <c r="Z24" i="84"/>
  <c r="X24" i="84"/>
  <c r="R24" i="84"/>
  <c r="N24" i="84"/>
  <c r="L24" i="84"/>
  <c r="F24" i="84"/>
  <c r="B24" i="84"/>
  <c r="Z23" i="84"/>
  <c r="X23" i="84"/>
  <c r="V23" i="84"/>
  <c r="N23" i="84"/>
  <c r="L23" i="84"/>
  <c r="J23" i="84"/>
  <c r="B23" i="84"/>
  <c r="Z22" i="84"/>
  <c r="X22" i="84"/>
  <c r="N22" i="84"/>
  <c r="L22" i="84"/>
  <c r="B22" i="84"/>
  <c r="Z21" i="84"/>
  <c r="X21" i="84"/>
  <c r="N21" i="84"/>
  <c r="L21" i="84"/>
  <c r="B21" i="84"/>
  <c r="Z20" i="84"/>
  <c r="X20" i="84"/>
  <c r="R20" i="84"/>
  <c r="N20" i="84"/>
  <c r="L20" i="84"/>
  <c r="F20" i="84"/>
  <c r="B20" i="84"/>
  <c r="V19" i="84"/>
  <c r="T19" i="84"/>
  <c r="Z19" i="84" s="1"/>
  <c r="P19" i="84"/>
  <c r="N19" i="84"/>
  <c r="H19" i="84"/>
  <c r="F19" i="84"/>
  <c r="D19" i="84"/>
  <c r="L19" i="84" s="1"/>
  <c r="B19" i="84"/>
  <c r="T18" i="84" a="1"/>
  <c r="T18" i="84" s="1"/>
  <c r="Z18" i="84" s="1"/>
  <c r="R18" i="84"/>
  <c r="P18" i="84" a="1"/>
  <c r="P18" i="84" s="1"/>
  <c r="X18" i="84" s="1"/>
  <c r="L18" i="84"/>
  <c r="H18" i="84" a="1"/>
  <c r="H18" i="84" s="1"/>
  <c r="N18" i="84" s="1"/>
  <c r="F18" i="84"/>
  <c r="D18" i="84" a="1"/>
  <c r="D18" i="84" s="1"/>
  <c r="T16" i="84"/>
  <c r="H16" i="84"/>
  <c r="D16" i="84"/>
  <c r="V14" i="84"/>
  <c r="T14" i="84"/>
  <c r="Z14" i="84" s="1"/>
  <c r="P14" i="84"/>
  <c r="X14" i="84" s="1"/>
  <c r="H14" i="84"/>
  <c r="F14" i="84"/>
  <c r="D14" i="84"/>
  <c r="X12" i="84"/>
  <c r="T12" i="84"/>
  <c r="V48" i="84" s="1"/>
  <c r="P12" i="84"/>
  <c r="R51" i="84" s="1"/>
  <c r="L12" i="84"/>
  <c r="H12" i="84"/>
  <c r="J46" i="84" s="1"/>
  <c r="D12" i="84"/>
  <c r="F55" i="84" s="1"/>
  <c r="D6" i="84"/>
  <c r="D4" i="84"/>
  <c r="X92" i="83"/>
  <c r="Z92" i="83" s="1"/>
  <c r="N92" i="83"/>
  <c r="L92" i="83"/>
  <c r="Z88" i="83"/>
  <c r="X88" i="83"/>
  <c r="P88" i="83"/>
  <c r="N88" i="83"/>
  <c r="D88" i="83"/>
  <c r="L88" i="83" s="1"/>
  <c r="B88" i="83"/>
  <c r="Z87" i="83"/>
  <c r="T87" i="83"/>
  <c r="P87" i="83"/>
  <c r="X87" i="83" s="1"/>
  <c r="H87" i="83"/>
  <c r="N87" i="83" s="1"/>
  <c r="D87" i="83"/>
  <c r="L87" i="83" s="1"/>
  <c r="Z85" i="83"/>
  <c r="X85" i="83"/>
  <c r="N85" i="83"/>
  <c r="L85" i="83"/>
  <c r="B85" i="83"/>
  <c r="T84" i="83"/>
  <c r="P84" i="83"/>
  <c r="L84" i="83"/>
  <c r="H84" i="83"/>
  <c r="D84" i="83"/>
  <c r="B84" i="83"/>
  <c r="Z83" i="83"/>
  <c r="X83" i="83"/>
  <c r="N83" i="83"/>
  <c r="L83" i="83"/>
  <c r="B83" i="83"/>
  <c r="X82" i="83"/>
  <c r="T82" i="83"/>
  <c r="Z82" i="83" s="1"/>
  <c r="P82" i="83"/>
  <c r="L82" i="83"/>
  <c r="H82" i="83"/>
  <c r="N82" i="83" s="1"/>
  <c r="D82" i="83"/>
  <c r="B82" i="83"/>
  <c r="Z81" i="83"/>
  <c r="X81" i="83"/>
  <c r="N81" i="83"/>
  <c r="L81" i="83"/>
  <c r="B81" i="83"/>
  <c r="T80" i="83"/>
  <c r="P80" i="83"/>
  <c r="H80" i="83"/>
  <c r="N80" i="83" s="1"/>
  <c r="D80" i="83"/>
  <c r="B80" i="83"/>
  <c r="Z79" i="83"/>
  <c r="X79" i="83"/>
  <c r="N79" i="83"/>
  <c r="L79" i="83"/>
  <c r="B79" i="83"/>
  <c r="X78" i="83"/>
  <c r="Z78" i="83" s="1"/>
  <c r="L78" i="83"/>
  <c r="N78" i="83" s="1"/>
  <c r="J78" i="83"/>
  <c r="B78" i="83"/>
  <c r="T77" i="83"/>
  <c r="P77" i="83"/>
  <c r="X77" i="83" s="1"/>
  <c r="Z77" i="83" s="1"/>
  <c r="L77" i="83"/>
  <c r="N77" i="83" s="1"/>
  <c r="J77" i="83"/>
  <c r="H77" i="83"/>
  <c r="D77" i="83"/>
  <c r="B77" i="83"/>
  <c r="X76" i="83"/>
  <c r="Z76" i="83" s="1"/>
  <c r="N76" i="83"/>
  <c r="L76" i="83"/>
  <c r="B76" i="83"/>
  <c r="X75" i="83"/>
  <c r="Z75" i="83" s="1"/>
  <c r="N75" i="83"/>
  <c r="L75" i="83"/>
  <c r="B75" i="83"/>
  <c r="X74" i="83"/>
  <c r="Z74" i="83" s="1"/>
  <c r="N74" i="83"/>
  <c r="L74" i="83"/>
  <c r="B74" i="83"/>
  <c r="X73" i="83"/>
  <c r="Z73" i="83" s="1"/>
  <c r="L73" i="83"/>
  <c r="N73" i="83" s="1"/>
  <c r="B73" i="83"/>
  <c r="X72" i="83"/>
  <c r="Z72" i="83" s="1"/>
  <c r="V72" i="83"/>
  <c r="N72" i="83"/>
  <c r="L72" i="83"/>
  <c r="B72" i="83"/>
  <c r="X71" i="83"/>
  <c r="Z71" i="83" s="1"/>
  <c r="N71" i="83"/>
  <c r="L71" i="83"/>
  <c r="B71" i="83"/>
  <c r="Z70" i="83"/>
  <c r="X70" i="83"/>
  <c r="N70" i="83"/>
  <c r="L70" i="83"/>
  <c r="B70" i="83"/>
  <c r="X69" i="83"/>
  <c r="Z69" i="83" s="1"/>
  <c r="L69" i="83"/>
  <c r="N69" i="83" s="1"/>
  <c r="B69" i="83"/>
  <c r="T68" i="83"/>
  <c r="P68" i="83"/>
  <c r="X68" i="83" s="1"/>
  <c r="H68" i="83"/>
  <c r="D68" i="83"/>
  <c r="L68" i="83" s="1"/>
  <c r="N68" i="83" s="1"/>
  <c r="B68" i="83"/>
  <c r="X67" i="83"/>
  <c r="Z67" i="83" s="1"/>
  <c r="L67" i="83"/>
  <c r="N67" i="83" s="1"/>
  <c r="B67" i="83"/>
  <c r="T66" i="83"/>
  <c r="P66" i="83"/>
  <c r="X66" i="83" s="1"/>
  <c r="Z66" i="83" s="1"/>
  <c r="L66" i="83"/>
  <c r="N66" i="83" s="1"/>
  <c r="J66" i="83"/>
  <c r="H66" i="83"/>
  <c r="D66" i="83"/>
  <c r="B66" i="83"/>
  <c r="X65" i="83"/>
  <c r="Z65" i="83" s="1"/>
  <c r="L65" i="83"/>
  <c r="N65" i="83" s="1"/>
  <c r="B65" i="83"/>
  <c r="X64" i="83"/>
  <c r="Z64" i="83" s="1"/>
  <c r="V64" i="83"/>
  <c r="L64" i="83"/>
  <c r="N64" i="83" s="1"/>
  <c r="B64" i="83"/>
  <c r="Z63" i="83"/>
  <c r="X63" i="83"/>
  <c r="N63" i="83"/>
  <c r="L63" i="83"/>
  <c r="B63" i="83"/>
  <c r="Z62" i="83"/>
  <c r="X62" i="83"/>
  <c r="N62" i="83"/>
  <c r="L62" i="83"/>
  <c r="B62" i="83"/>
  <c r="T61" i="83"/>
  <c r="Z61" i="83" s="1"/>
  <c r="P61" i="83"/>
  <c r="X61" i="83" s="1"/>
  <c r="L61" i="83"/>
  <c r="N61" i="83" s="1"/>
  <c r="H61" i="83"/>
  <c r="D61" i="83"/>
  <c r="B61" i="83"/>
  <c r="X60" i="83"/>
  <c r="Z60" i="83" s="1"/>
  <c r="V60" i="83"/>
  <c r="L60" i="83"/>
  <c r="N60" i="83" s="1"/>
  <c r="B60" i="83"/>
  <c r="X59" i="83"/>
  <c r="Z59" i="83" s="1"/>
  <c r="L59" i="83"/>
  <c r="N59" i="83" s="1"/>
  <c r="B59" i="83"/>
  <c r="T58" i="83"/>
  <c r="P58" i="83"/>
  <c r="X58" i="83" s="1"/>
  <c r="Z58" i="83" s="1"/>
  <c r="L58" i="83"/>
  <c r="N58" i="83" s="1"/>
  <c r="J58" i="83"/>
  <c r="H58" i="83"/>
  <c r="D58" i="83"/>
  <c r="B58" i="83"/>
  <c r="X57" i="83"/>
  <c r="Z57" i="83" s="1"/>
  <c r="N57" i="83"/>
  <c r="L57" i="83"/>
  <c r="B57" i="83"/>
  <c r="X56" i="83"/>
  <c r="Z56" i="83" s="1"/>
  <c r="V56" i="83"/>
  <c r="N56" i="83"/>
  <c r="L56" i="83"/>
  <c r="B56" i="83"/>
  <c r="X55" i="83"/>
  <c r="Z55" i="83" s="1"/>
  <c r="T55" i="83"/>
  <c r="P55" i="83"/>
  <c r="H55" i="83"/>
  <c r="D55" i="83"/>
  <c r="B55" i="83"/>
  <c r="Z54" i="83"/>
  <c r="X54" i="83"/>
  <c r="N54" i="83"/>
  <c r="L54" i="83"/>
  <c r="B54" i="83"/>
  <c r="T53" i="83"/>
  <c r="P53" i="83"/>
  <c r="H53" i="83"/>
  <c r="D53" i="83"/>
  <c r="L53" i="83" s="1"/>
  <c r="B53" i="83"/>
  <c r="X52" i="83"/>
  <c r="Z52" i="83" s="1"/>
  <c r="L52" i="83"/>
  <c r="N52" i="83" s="1"/>
  <c r="J52" i="83"/>
  <c r="B52" i="83"/>
  <c r="T51" i="83"/>
  <c r="Z51" i="83" s="1"/>
  <c r="P51" i="83"/>
  <c r="X51" i="83" s="1"/>
  <c r="H51" i="83"/>
  <c r="D51" i="83"/>
  <c r="L51" i="83" s="1"/>
  <c r="B51" i="83"/>
  <c r="Z50" i="83"/>
  <c r="X50" i="83"/>
  <c r="N50" i="83"/>
  <c r="L50" i="83"/>
  <c r="B50" i="83"/>
  <c r="Z49" i="83"/>
  <c r="X49" i="83"/>
  <c r="N49" i="83"/>
  <c r="L49" i="83"/>
  <c r="B49" i="83"/>
  <c r="T48" i="83"/>
  <c r="P48" i="83"/>
  <c r="X48" i="83" s="1"/>
  <c r="H48" i="83"/>
  <c r="D48" i="83"/>
  <c r="L48" i="83" s="1"/>
  <c r="N48" i="83" s="1"/>
  <c r="B48" i="83"/>
  <c r="X47" i="83"/>
  <c r="Z47" i="83" s="1"/>
  <c r="L47" i="83"/>
  <c r="N47" i="83" s="1"/>
  <c r="B47" i="83"/>
  <c r="T46" i="83"/>
  <c r="P46" i="83"/>
  <c r="X46" i="83" s="1"/>
  <c r="Z46" i="83" s="1"/>
  <c r="N46" i="83"/>
  <c r="L46" i="83"/>
  <c r="J46" i="83"/>
  <c r="H46" i="83"/>
  <c r="D46" i="83"/>
  <c r="B46" i="83"/>
  <c r="Z45" i="83"/>
  <c r="X45" i="83"/>
  <c r="N45" i="83"/>
  <c r="L45" i="83"/>
  <c r="B45" i="83"/>
  <c r="Z44" i="83"/>
  <c r="X44" i="83"/>
  <c r="V44" i="83"/>
  <c r="T44" i="83"/>
  <c r="P44" i="83"/>
  <c r="N44" i="83"/>
  <c r="H44" i="83"/>
  <c r="L44" i="83" s="1"/>
  <c r="D44" i="83"/>
  <c r="B44" i="83"/>
  <c r="Z43" i="83"/>
  <c r="X43" i="83"/>
  <c r="N43" i="83"/>
  <c r="L43" i="83"/>
  <c r="B43" i="83"/>
  <c r="Z42" i="83"/>
  <c r="X42" i="83"/>
  <c r="N42" i="83"/>
  <c r="L42" i="83"/>
  <c r="B42" i="83"/>
  <c r="X41" i="83"/>
  <c r="Z41" i="83" s="1"/>
  <c r="N41" i="83"/>
  <c r="L41" i="83"/>
  <c r="B41" i="83"/>
  <c r="Z40" i="83"/>
  <c r="X40" i="83"/>
  <c r="V40" i="83"/>
  <c r="L40" i="83"/>
  <c r="N40" i="83" s="1"/>
  <c r="B40" i="83"/>
  <c r="Z39" i="83"/>
  <c r="X39" i="83"/>
  <c r="N39" i="83"/>
  <c r="L39" i="83"/>
  <c r="B39" i="83"/>
  <c r="Z38" i="83"/>
  <c r="X38" i="83"/>
  <c r="N38" i="83"/>
  <c r="L38" i="83"/>
  <c r="B38" i="83"/>
  <c r="X37" i="83"/>
  <c r="Z37" i="83" s="1"/>
  <c r="L37" i="83"/>
  <c r="N37" i="83" s="1"/>
  <c r="B37" i="83"/>
  <c r="Z36" i="83"/>
  <c r="X36" i="83"/>
  <c r="N36" i="83"/>
  <c r="L36" i="83"/>
  <c r="J36" i="83"/>
  <c r="B36" i="83"/>
  <c r="X35" i="83"/>
  <c r="Z35" i="83" s="1"/>
  <c r="L35" i="83"/>
  <c r="N35" i="83" s="1"/>
  <c r="B35" i="83"/>
  <c r="Z34" i="83"/>
  <c r="X34" i="83"/>
  <c r="N34" i="83"/>
  <c r="L34" i="83"/>
  <c r="B34" i="83"/>
  <c r="T33" i="83"/>
  <c r="P33" i="83"/>
  <c r="H33" i="83"/>
  <c r="D33" i="83"/>
  <c r="L33" i="83" s="1"/>
  <c r="B33" i="83"/>
  <c r="Z32" i="83"/>
  <c r="X32" i="83"/>
  <c r="V32" i="83"/>
  <c r="N32" i="83"/>
  <c r="L32" i="83"/>
  <c r="J32" i="83"/>
  <c r="B32" i="83"/>
  <c r="X31" i="83"/>
  <c r="Z31" i="83" s="1"/>
  <c r="L31" i="83"/>
  <c r="N31" i="83" s="1"/>
  <c r="B31" i="83"/>
  <c r="Z30" i="83"/>
  <c r="X30" i="83"/>
  <c r="N30" i="83"/>
  <c r="L30" i="83"/>
  <c r="B30" i="83"/>
  <c r="Z29" i="83"/>
  <c r="X29" i="83"/>
  <c r="N29" i="83"/>
  <c r="L29" i="83"/>
  <c r="B29" i="83"/>
  <c r="Z28" i="83"/>
  <c r="X28" i="83"/>
  <c r="V28" i="83"/>
  <c r="N28" i="83"/>
  <c r="L28" i="83"/>
  <c r="B28" i="83"/>
  <c r="X27" i="83"/>
  <c r="Z27" i="83" s="1"/>
  <c r="L27" i="83"/>
  <c r="N27" i="83" s="1"/>
  <c r="B27" i="83"/>
  <c r="Z26" i="83"/>
  <c r="X26" i="83"/>
  <c r="N26" i="83"/>
  <c r="L26" i="83"/>
  <c r="B26" i="83"/>
  <c r="X25" i="83"/>
  <c r="Z25" i="83" s="1"/>
  <c r="L25" i="83"/>
  <c r="N25" i="83" s="1"/>
  <c r="B25" i="83"/>
  <c r="Z24" i="83"/>
  <c r="X24" i="83"/>
  <c r="V24" i="83"/>
  <c r="N24" i="83"/>
  <c r="L24" i="83"/>
  <c r="J24" i="83"/>
  <c r="B24" i="83"/>
  <c r="T23" i="83"/>
  <c r="Z23" i="83" s="1"/>
  <c r="P23" i="83"/>
  <c r="X23" i="83" s="1"/>
  <c r="H23" i="83"/>
  <c r="N23" i="83" s="1"/>
  <c r="D23" i="83"/>
  <c r="L23" i="83" s="1"/>
  <c r="B23" i="83"/>
  <c r="T22" i="83" a="1"/>
  <c r="T22" i="83" s="1"/>
  <c r="P22" i="83" a="1"/>
  <c r="P22" i="83" s="1"/>
  <c r="H22" i="83" a="1"/>
  <c r="H22" i="83"/>
  <c r="D22" i="83" a="1"/>
  <c r="D22" i="83" s="1"/>
  <c r="T20" i="83"/>
  <c r="Z18" i="83"/>
  <c r="X18" i="83"/>
  <c r="V18" i="83"/>
  <c r="N18" i="83"/>
  <c r="L18" i="83"/>
  <c r="B18" i="83"/>
  <c r="X17" i="83"/>
  <c r="Z17" i="83" s="1"/>
  <c r="L17" i="83"/>
  <c r="N17" i="83" s="1"/>
  <c r="B17" i="83"/>
  <c r="V16" i="83"/>
  <c r="T16" i="83"/>
  <c r="P16" i="83"/>
  <c r="X16" i="83" s="1"/>
  <c r="Z16" i="83" s="1"/>
  <c r="H16" i="83"/>
  <c r="L16" i="83" s="1"/>
  <c r="N16" i="83" s="1"/>
  <c r="D16" i="83"/>
  <c r="P14" i="83"/>
  <c r="X14" i="83" s="1"/>
  <c r="Z14" i="83" s="1"/>
  <c r="L14" i="83"/>
  <c r="N14" i="83" s="1"/>
  <c r="D14" i="83"/>
  <c r="B14" i="83"/>
  <c r="P13" i="83"/>
  <c r="X13" i="83" s="1"/>
  <c r="Z13" i="83" s="1"/>
  <c r="D13" i="83"/>
  <c r="L13" i="83" s="1"/>
  <c r="N13" i="83" s="1"/>
  <c r="B13" i="83"/>
  <c r="T12" i="83"/>
  <c r="V77" i="83" s="1"/>
  <c r="H12" i="83"/>
  <c r="J69" i="83" s="1"/>
  <c r="D6" i="83"/>
  <c r="D4" i="83"/>
  <c r="X99" i="82"/>
  <c r="Z99" i="82" s="1"/>
  <c r="N99" i="82"/>
  <c r="L99" i="82"/>
  <c r="J99" i="82"/>
  <c r="Z95" i="82"/>
  <c r="X95" i="82"/>
  <c r="P95" i="82"/>
  <c r="N95" i="82"/>
  <c r="L95" i="82"/>
  <c r="D95" i="82"/>
  <c r="B95" i="82"/>
  <c r="T94" i="82"/>
  <c r="Z94" i="82" s="1"/>
  <c r="P94" i="82"/>
  <c r="X94" i="82" s="1"/>
  <c r="L94" i="82"/>
  <c r="H94" i="82"/>
  <c r="N94" i="82" s="1"/>
  <c r="D94" i="82"/>
  <c r="X92" i="82"/>
  <c r="Z92" i="82" s="1"/>
  <c r="L92" i="82"/>
  <c r="N92" i="82" s="1"/>
  <c r="B92" i="82"/>
  <c r="T91" i="82"/>
  <c r="P91" i="82"/>
  <c r="X91" i="82" s="1"/>
  <c r="Z91" i="82" s="1"/>
  <c r="H91" i="82"/>
  <c r="D91" i="82"/>
  <c r="L91" i="82" s="1"/>
  <c r="N91" i="82" s="1"/>
  <c r="B91" i="82"/>
  <c r="X90" i="82"/>
  <c r="Z90" i="82" s="1"/>
  <c r="N90" i="82"/>
  <c r="L90" i="82"/>
  <c r="B90" i="82"/>
  <c r="T89" i="82"/>
  <c r="P89" i="82"/>
  <c r="X89" i="82" s="1"/>
  <c r="Z89" i="82" s="1"/>
  <c r="L89" i="82"/>
  <c r="H89" i="82"/>
  <c r="N89" i="82" s="1"/>
  <c r="D89" i="82"/>
  <c r="B89" i="82"/>
  <c r="X88" i="82"/>
  <c r="Z88" i="82" s="1"/>
  <c r="L88" i="82"/>
  <c r="N88" i="82" s="1"/>
  <c r="B88" i="82"/>
  <c r="X87" i="82"/>
  <c r="Z87" i="82" s="1"/>
  <c r="N87" i="82"/>
  <c r="L87" i="82"/>
  <c r="B87" i="82"/>
  <c r="T86" i="82"/>
  <c r="Z86" i="82" s="1"/>
  <c r="P86" i="82"/>
  <c r="X86" i="82" s="1"/>
  <c r="H86" i="82"/>
  <c r="N86" i="82" s="1"/>
  <c r="D86" i="82"/>
  <c r="L86" i="82" s="1"/>
  <c r="B86" i="82"/>
  <c r="Z85" i="82"/>
  <c r="X85" i="82"/>
  <c r="N85" i="82"/>
  <c r="L85" i="82"/>
  <c r="B85" i="82"/>
  <c r="X84" i="82"/>
  <c r="Z84" i="82" s="1"/>
  <c r="N84" i="82"/>
  <c r="L84" i="82"/>
  <c r="B84" i="82"/>
  <c r="X83" i="82"/>
  <c r="Z83" i="82" s="1"/>
  <c r="N83" i="82"/>
  <c r="L83" i="82"/>
  <c r="J83" i="82"/>
  <c r="B83" i="82"/>
  <c r="X82" i="82"/>
  <c r="Z82" i="82" s="1"/>
  <c r="N82" i="82"/>
  <c r="L82" i="82"/>
  <c r="B82" i="82"/>
  <c r="Z81" i="82"/>
  <c r="X81" i="82"/>
  <c r="N81" i="82"/>
  <c r="L81" i="82"/>
  <c r="B81" i="82"/>
  <c r="X80" i="82"/>
  <c r="Z80" i="82" s="1"/>
  <c r="N80" i="82"/>
  <c r="L80" i="82"/>
  <c r="B80" i="82"/>
  <c r="Z79" i="82"/>
  <c r="X79" i="82"/>
  <c r="N79" i="82"/>
  <c r="L79" i="82"/>
  <c r="B79" i="82"/>
  <c r="Z78" i="82"/>
  <c r="X78" i="82"/>
  <c r="N78" i="82"/>
  <c r="L78" i="82"/>
  <c r="B78" i="82"/>
  <c r="T77" i="82"/>
  <c r="P77" i="82"/>
  <c r="X77" i="82" s="1"/>
  <c r="Z77" i="82" s="1"/>
  <c r="H77" i="82"/>
  <c r="D77" i="82"/>
  <c r="L77" i="82" s="1"/>
  <c r="N77" i="82" s="1"/>
  <c r="B77" i="82"/>
  <c r="X76" i="82"/>
  <c r="Z76" i="82" s="1"/>
  <c r="L76" i="82"/>
  <c r="N76" i="82" s="1"/>
  <c r="B76" i="82"/>
  <c r="T75" i="82"/>
  <c r="P75" i="82"/>
  <c r="X75" i="82" s="1"/>
  <c r="Z75" i="82" s="1"/>
  <c r="N75" i="82"/>
  <c r="L75" i="82"/>
  <c r="H75" i="82"/>
  <c r="D75" i="82"/>
  <c r="B75" i="82"/>
  <c r="X74" i="82"/>
  <c r="Z74" i="82" s="1"/>
  <c r="L74" i="82"/>
  <c r="N74" i="82" s="1"/>
  <c r="B74" i="82"/>
  <c r="Z73" i="82"/>
  <c r="X73" i="82"/>
  <c r="N73" i="82"/>
  <c r="L73" i="82"/>
  <c r="B73" i="82"/>
  <c r="X72" i="82"/>
  <c r="Z72" i="82" s="1"/>
  <c r="L72" i="82"/>
  <c r="N72" i="82" s="1"/>
  <c r="B72" i="82"/>
  <c r="Z71" i="82"/>
  <c r="X71" i="82"/>
  <c r="L71" i="82"/>
  <c r="N71" i="82" s="1"/>
  <c r="B71" i="82"/>
  <c r="X70" i="82"/>
  <c r="T70" i="82"/>
  <c r="P70" i="82"/>
  <c r="H70" i="82"/>
  <c r="D70" i="82"/>
  <c r="B70" i="82"/>
  <c r="Z69" i="82"/>
  <c r="X69" i="82"/>
  <c r="N69" i="82"/>
  <c r="L69" i="82"/>
  <c r="B69" i="82"/>
  <c r="X68" i="82"/>
  <c r="Z68" i="82" s="1"/>
  <c r="L68" i="82"/>
  <c r="N68" i="82" s="1"/>
  <c r="B68" i="82"/>
  <c r="T67" i="82"/>
  <c r="P67" i="82"/>
  <c r="X67" i="82" s="1"/>
  <c r="Z67" i="82" s="1"/>
  <c r="N67" i="82"/>
  <c r="L67" i="82"/>
  <c r="H67" i="82"/>
  <c r="D67" i="82"/>
  <c r="B67" i="82"/>
  <c r="X66" i="82"/>
  <c r="Z66" i="82" s="1"/>
  <c r="L66" i="82"/>
  <c r="N66" i="82" s="1"/>
  <c r="B66" i="82"/>
  <c r="Z65" i="82"/>
  <c r="X65" i="82"/>
  <c r="T65" i="82"/>
  <c r="P65" i="82"/>
  <c r="L65" i="82"/>
  <c r="H65" i="82"/>
  <c r="N65" i="82" s="1"/>
  <c r="D65" i="82"/>
  <c r="B65" i="82"/>
  <c r="X64" i="82"/>
  <c r="Z64" i="82" s="1"/>
  <c r="L64" i="82"/>
  <c r="N64" i="82" s="1"/>
  <c r="B64" i="82"/>
  <c r="X63" i="82"/>
  <c r="T63" i="82"/>
  <c r="Z63" i="82" s="1"/>
  <c r="P63" i="82"/>
  <c r="N63" i="82"/>
  <c r="H63" i="82"/>
  <c r="D63" i="82"/>
  <c r="L63" i="82" s="1"/>
  <c r="B63" i="82"/>
  <c r="X62" i="82"/>
  <c r="Z62" i="82" s="1"/>
  <c r="N62" i="82"/>
  <c r="L62" i="82"/>
  <c r="B62" i="82"/>
  <c r="Z61" i="82"/>
  <c r="T61" i="82"/>
  <c r="P61" i="82"/>
  <c r="X61" i="82" s="1"/>
  <c r="N61" i="82"/>
  <c r="H61" i="82"/>
  <c r="D61" i="82"/>
  <c r="L61" i="82" s="1"/>
  <c r="B61" i="82"/>
  <c r="X60" i="82"/>
  <c r="Z60" i="82" s="1"/>
  <c r="N60" i="82"/>
  <c r="L60" i="82"/>
  <c r="B60" i="82"/>
  <c r="V59" i="82"/>
  <c r="T59" i="82"/>
  <c r="P59" i="82"/>
  <c r="X59" i="82" s="1"/>
  <c r="Z59" i="82" s="1"/>
  <c r="N59" i="82"/>
  <c r="L59" i="82"/>
  <c r="H59" i="82"/>
  <c r="D59" i="82"/>
  <c r="B59" i="82"/>
  <c r="X58" i="82"/>
  <c r="Z58" i="82" s="1"/>
  <c r="N58" i="82"/>
  <c r="L58" i="82"/>
  <c r="B58" i="82"/>
  <c r="Z57" i="82"/>
  <c r="X57" i="82"/>
  <c r="T57" i="82"/>
  <c r="P57" i="82"/>
  <c r="L57" i="82"/>
  <c r="H57" i="82"/>
  <c r="N57" i="82" s="1"/>
  <c r="D57" i="82"/>
  <c r="B57" i="82"/>
  <c r="Z56" i="82"/>
  <c r="X56" i="82"/>
  <c r="L56" i="82"/>
  <c r="N56" i="82" s="1"/>
  <c r="B56" i="82"/>
  <c r="Z55" i="82"/>
  <c r="X55" i="82"/>
  <c r="N55" i="82"/>
  <c r="L55" i="82"/>
  <c r="B55" i="82"/>
  <c r="T54" i="82"/>
  <c r="P54" i="82"/>
  <c r="X54" i="82" s="1"/>
  <c r="Z54" i="82" s="1"/>
  <c r="H54" i="82"/>
  <c r="D54" i="82"/>
  <c r="L54" i="82" s="1"/>
  <c r="B54" i="82"/>
  <c r="Z53" i="82"/>
  <c r="X53" i="82"/>
  <c r="N53" i="82"/>
  <c r="L53" i="82"/>
  <c r="B53" i="82"/>
  <c r="T52" i="82"/>
  <c r="P52" i="82"/>
  <c r="X52" i="82" s="1"/>
  <c r="L52" i="82"/>
  <c r="H52" i="82"/>
  <c r="N52" i="82" s="1"/>
  <c r="D52" i="82"/>
  <c r="B52" i="82"/>
  <c r="Z51" i="82"/>
  <c r="X51" i="82"/>
  <c r="L51" i="82"/>
  <c r="N51" i="82" s="1"/>
  <c r="B51" i="82"/>
  <c r="X50" i="82"/>
  <c r="T50" i="82"/>
  <c r="P50" i="82"/>
  <c r="H50" i="82"/>
  <c r="D50" i="82"/>
  <c r="B50" i="82"/>
  <c r="Z49" i="82"/>
  <c r="X49" i="82"/>
  <c r="N49" i="82"/>
  <c r="L49" i="82"/>
  <c r="B49" i="82"/>
  <c r="T48" i="82"/>
  <c r="P48" i="82"/>
  <c r="N48" i="82"/>
  <c r="H48" i="82"/>
  <c r="D48" i="82"/>
  <c r="L48" i="82" s="1"/>
  <c r="B48" i="82"/>
  <c r="Z47" i="82"/>
  <c r="X47" i="82"/>
  <c r="N47" i="82"/>
  <c r="L47" i="82"/>
  <c r="B47" i="82"/>
  <c r="Z46" i="82"/>
  <c r="X46" i="82"/>
  <c r="N46" i="82"/>
  <c r="L46" i="82"/>
  <c r="B46" i="82"/>
  <c r="Z45" i="82"/>
  <c r="X45" i="82"/>
  <c r="N45" i="82"/>
  <c r="L45" i="82"/>
  <c r="B45" i="82"/>
  <c r="X44" i="82"/>
  <c r="Z44" i="82" s="1"/>
  <c r="N44" i="82"/>
  <c r="L44" i="82"/>
  <c r="B44" i="82"/>
  <c r="Z43" i="82"/>
  <c r="X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B41" i="82"/>
  <c r="Z40" i="82"/>
  <c r="X40" i="82"/>
  <c r="N40" i="82"/>
  <c r="L40" i="82"/>
  <c r="B40" i="82"/>
  <c r="X39" i="82"/>
  <c r="Z39" i="82" s="1"/>
  <c r="N39" i="82"/>
  <c r="L39" i="82"/>
  <c r="B39" i="82"/>
  <c r="Z38" i="82"/>
  <c r="X38" i="82"/>
  <c r="N38" i="82"/>
  <c r="L38" i="82"/>
  <c r="B38" i="82"/>
  <c r="Z37" i="82"/>
  <c r="X37" i="82"/>
  <c r="T37" i="82"/>
  <c r="P37" i="82"/>
  <c r="L37" i="82"/>
  <c r="N37" i="82" s="1"/>
  <c r="H37" i="82"/>
  <c r="D37" i="82"/>
  <c r="B37" i="82"/>
  <c r="X36" i="82"/>
  <c r="Z36" i="82" s="1"/>
  <c r="L36" i="82"/>
  <c r="N36" i="82" s="1"/>
  <c r="B36" i="82"/>
  <c r="X35" i="82"/>
  <c r="Z35" i="82" s="1"/>
  <c r="N35" i="82"/>
  <c r="L35" i="82"/>
  <c r="B35" i="82"/>
  <c r="Z34" i="82"/>
  <c r="X34" i="82"/>
  <c r="L34" i="82"/>
  <c r="N34" i="82" s="1"/>
  <c r="B34" i="82"/>
  <c r="Z33" i="82"/>
  <c r="X33" i="82"/>
  <c r="N33" i="82"/>
  <c r="L33" i="82"/>
  <c r="B33" i="82"/>
  <c r="Z32" i="82"/>
  <c r="X32" i="82"/>
  <c r="N32" i="82"/>
  <c r="L32" i="82"/>
  <c r="B32" i="82"/>
  <c r="Z31" i="82"/>
  <c r="X31" i="82"/>
  <c r="L31" i="82"/>
  <c r="N31" i="82" s="1"/>
  <c r="B31" i="82"/>
  <c r="X30" i="82"/>
  <c r="Z30" i="82" s="1"/>
  <c r="N30" i="82"/>
  <c r="L30" i="82"/>
  <c r="B30" i="82"/>
  <c r="Z29" i="82"/>
  <c r="X29" i="82"/>
  <c r="N29" i="82"/>
  <c r="L29" i="82"/>
  <c r="B29" i="82"/>
  <c r="X28" i="82"/>
  <c r="Z28" i="82" s="1"/>
  <c r="N28" i="82"/>
  <c r="L28" i="82"/>
  <c r="B28" i="82"/>
  <c r="Z27" i="82"/>
  <c r="X27" i="82"/>
  <c r="V27" i="82"/>
  <c r="L27" i="82"/>
  <c r="N27" i="82" s="1"/>
  <c r="B27" i="82"/>
  <c r="X26" i="82"/>
  <c r="T26" i="82"/>
  <c r="P26" i="82"/>
  <c r="H26" i="82"/>
  <c r="D26" i="82"/>
  <c r="B26" i="82"/>
  <c r="T25" i="82" a="1"/>
  <c r="T25" i="82" s="1"/>
  <c r="P25" i="82" a="1"/>
  <c r="P25" i="82" s="1"/>
  <c r="H25" i="82" a="1"/>
  <c r="H25" i="82" s="1"/>
  <c r="D25" i="82" a="1"/>
  <c r="D25" i="82" s="1"/>
  <c r="T23" i="82"/>
  <c r="Z21" i="82"/>
  <c r="X21" i="82"/>
  <c r="V21" i="82"/>
  <c r="N21" i="82"/>
  <c r="L21" i="82"/>
  <c r="B21" i="82"/>
  <c r="Z20" i="82"/>
  <c r="X20" i="82"/>
  <c r="N20" i="82"/>
  <c r="L20" i="82"/>
  <c r="J20" i="82"/>
  <c r="F20" i="82"/>
  <c r="B20" i="82"/>
  <c r="Z19" i="82"/>
  <c r="X19" i="82"/>
  <c r="L19" i="82"/>
  <c r="N19" i="82" s="1"/>
  <c r="J19" i="82"/>
  <c r="B19" i="82"/>
  <c r="T18" i="82"/>
  <c r="P18" i="82"/>
  <c r="X18" i="82" s="1"/>
  <c r="L18" i="82"/>
  <c r="H18" i="82"/>
  <c r="N18" i="82" s="1"/>
  <c r="D18" i="82"/>
  <c r="Z16" i="82"/>
  <c r="X16" i="82"/>
  <c r="P16" i="82"/>
  <c r="N16" i="82"/>
  <c r="D16" i="82"/>
  <c r="L16" i="82" s="1"/>
  <c r="B16" i="82"/>
  <c r="P15" i="82"/>
  <c r="X15" i="82" s="1"/>
  <c r="Z15" i="82" s="1"/>
  <c r="L15" i="82"/>
  <c r="N15" i="82" s="1"/>
  <c r="D15" i="82"/>
  <c r="B15" i="82"/>
  <c r="Z14" i="82"/>
  <c r="P14" i="82"/>
  <c r="X14" i="82" s="1"/>
  <c r="N14" i="82"/>
  <c r="D14" i="82"/>
  <c r="L14" i="82" s="1"/>
  <c r="B14" i="82"/>
  <c r="P13" i="82"/>
  <c r="X13" i="82" s="1"/>
  <c r="Z13" i="82" s="1"/>
  <c r="L13" i="82"/>
  <c r="N13" i="82" s="1"/>
  <c r="D13" i="82"/>
  <c r="B13" i="82"/>
  <c r="T12" i="82"/>
  <c r="V75" i="82" s="1"/>
  <c r="L12" i="82"/>
  <c r="N12" i="82" s="1"/>
  <c r="H12" i="82"/>
  <c r="J35" i="82" s="1"/>
  <c r="D12" i="82"/>
  <c r="F84" i="82" s="1"/>
  <c r="D6" i="82"/>
  <c r="D4" i="82"/>
  <c r="Z30" i="81"/>
  <c r="X30" i="81"/>
  <c r="R30" i="81"/>
  <c r="N30" i="81"/>
  <c r="L30" i="81"/>
  <c r="X26" i="81"/>
  <c r="T26" i="81"/>
  <c r="Z26" i="81" s="1"/>
  <c r="P26" i="81"/>
  <c r="L26" i="81"/>
  <c r="H26" i="81"/>
  <c r="N26" i="81" s="1"/>
  <c r="D26" i="81"/>
  <c r="Z24" i="81"/>
  <c r="X24" i="81"/>
  <c r="R24" i="81"/>
  <c r="N24" i="81"/>
  <c r="L24" i="81"/>
  <c r="B24" i="81"/>
  <c r="Z23" i="81"/>
  <c r="X23" i="81"/>
  <c r="V23" i="81"/>
  <c r="T23" i="81"/>
  <c r="P23" i="81"/>
  <c r="H23" i="81"/>
  <c r="N23" i="81" s="1"/>
  <c r="F23" i="81"/>
  <c r="D23" i="81"/>
  <c r="B23" i="81"/>
  <c r="Z22" i="81"/>
  <c r="X22" i="81"/>
  <c r="N22" i="81"/>
  <c r="L22" i="81"/>
  <c r="F22" i="81"/>
  <c r="B22" i="81"/>
  <c r="T21" i="81"/>
  <c r="Z21" i="81" s="1"/>
  <c r="R21" i="81"/>
  <c r="P21" i="81"/>
  <c r="N21" i="81"/>
  <c r="H21" i="81"/>
  <c r="D21" i="81"/>
  <c r="L21" i="81" s="1"/>
  <c r="B21" i="81"/>
  <c r="Z20" i="81"/>
  <c r="X20" i="81"/>
  <c r="N20" i="81"/>
  <c r="L20" i="81"/>
  <c r="F20" i="81"/>
  <c r="B20" i="81"/>
  <c r="Z19" i="81"/>
  <c r="T19" i="81"/>
  <c r="P19" i="81"/>
  <c r="X19" i="81" s="1"/>
  <c r="N19" i="81"/>
  <c r="H19" i="81"/>
  <c r="D19" i="81"/>
  <c r="L19" i="81" s="1"/>
  <c r="B19" i="81"/>
  <c r="T18" i="81" a="1"/>
  <c r="T18" i="81" s="1"/>
  <c r="Z18" i="81" s="1"/>
  <c r="P18" i="81" a="1"/>
  <c r="P18" i="81" s="1"/>
  <c r="X18" i="81" s="1"/>
  <c r="H18" i="81" a="1"/>
  <c r="H18" i="81" s="1"/>
  <c r="N18" i="81" s="1"/>
  <c r="D18" i="81" a="1"/>
  <c r="D18" i="81" s="1"/>
  <c r="D28" i="81" s="1"/>
  <c r="T16" i="81"/>
  <c r="Z16" i="81" s="1"/>
  <c r="H16" i="81"/>
  <c r="D16" i="81"/>
  <c r="L16" i="81" s="1"/>
  <c r="V14" i="81"/>
  <c r="T14" i="81"/>
  <c r="Z14" i="81" s="1"/>
  <c r="P14" i="81"/>
  <c r="X14" i="81" s="1"/>
  <c r="L14" i="81"/>
  <c r="H14" i="81"/>
  <c r="N14" i="81" s="1"/>
  <c r="F14" i="81"/>
  <c r="D14" i="81"/>
  <c r="Z12" i="81"/>
  <c r="X12" i="81"/>
  <c r="T12" i="81"/>
  <c r="V18" i="81" s="1"/>
  <c r="P12" i="81"/>
  <c r="R35" i="81" s="1"/>
  <c r="H12" i="81"/>
  <c r="J32" i="81" s="1"/>
  <c r="D12" i="81"/>
  <c r="F16" i="81" s="1"/>
  <c r="D6" i="81"/>
  <c r="D4" i="81"/>
  <c r="Z30" i="80"/>
  <c r="X30" i="80"/>
  <c r="N30" i="80"/>
  <c r="L30" i="80"/>
  <c r="F30" i="80"/>
  <c r="T26" i="80"/>
  <c r="Z26" i="80" s="1"/>
  <c r="P26" i="80"/>
  <c r="H26" i="80"/>
  <c r="N26" i="80" s="1"/>
  <c r="D26" i="80"/>
  <c r="L26" i="80" s="1"/>
  <c r="Z24" i="80"/>
  <c r="X24" i="80"/>
  <c r="N24" i="80"/>
  <c r="L24" i="80"/>
  <c r="F24" i="80"/>
  <c r="B24" i="80"/>
  <c r="Z23" i="80"/>
  <c r="T23" i="80"/>
  <c r="P23" i="80"/>
  <c r="X23" i="80" s="1"/>
  <c r="N23" i="80"/>
  <c r="H23" i="80"/>
  <c r="D23" i="80"/>
  <c r="L23" i="80" s="1"/>
  <c r="B23" i="80"/>
  <c r="Z22" i="80"/>
  <c r="X22" i="80"/>
  <c r="N22" i="80"/>
  <c r="L22" i="80"/>
  <c r="B22" i="80"/>
  <c r="Z21" i="80"/>
  <c r="T21" i="80"/>
  <c r="P21" i="80"/>
  <c r="X21" i="80" s="1"/>
  <c r="N21" i="80"/>
  <c r="L21" i="80"/>
  <c r="J21" i="80"/>
  <c r="H21" i="80"/>
  <c r="D21" i="80"/>
  <c r="B21" i="80"/>
  <c r="Z20" i="80"/>
  <c r="X20" i="80"/>
  <c r="R20" i="80"/>
  <c r="L20" i="80"/>
  <c r="N20" i="80" s="1"/>
  <c r="B20" i="80"/>
  <c r="X19" i="80"/>
  <c r="Z19" i="80" s="1"/>
  <c r="V19" i="80"/>
  <c r="T19" i="80"/>
  <c r="P19" i="80"/>
  <c r="L19" i="80"/>
  <c r="H19" i="80"/>
  <c r="N19" i="80" s="1"/>
  <c r="F19" i="80"/>
  <c r="D19" i="80"/>
  <c r="B19" i="80"/>
  <c r="T18" i="80" a="1"/>
  <c r="T18" i="80" s="1"/>
  <c r="R18" i="80"/>
  <c r="P18" i="80" a="1"/>
  <c r="P18" i="80"/>
  <c r="X18" i="80" s="1"/>
  <c r="H18" i="80" a="1"/>
  <c r="H18" i="80" s="1"/>
  <c r="F18" i="80"/>
  <c r="D18" i="80" a="1"/>
  <c r="D18" i="80"/>
  <c r="P16" i="80"/>
  <c r="X14" i="80"/>
  <c r="V14" i="80"/>
  <c r="T14" i="80"/>
  <c r="Z14" i="80" s="1"/>
  <c r="P14" i="80"/>
  <c r="H14" i="80"/>
  <c r="N14" i="80" s="1"/>
  <c r="D14" i="80"/>
  <c r="T12" i="80"/>
  <c r="V22" i="80" s="1"/>
  <c r="P12" i="80"/>
  <c r="R32" i="80" s="1"/>
  <c r="L12" i="80"/>
  <c r="H12" i="80"/>
  <c r="J35" i="80" s="1"/>
  <c r="D12" i="80"/>
  <c r="F14" i="80" s="1"/>
  <c r="D6" i="80"/>
  <c r="D4" i="80"/>
  <c r="Z34" i="79"/>
  <c r="X34" i="79"/>
  <c r="R34" i="79"/>
  <c r="N34" i="79"/>
  <c r="L34" i="79"/>
  <c r="D32" i="79"/>
  <c r="Z30" i="79"/>
  <c r="X30" i="79"/>
  <c r="T30" i="79"/>
  <c r="P30" i="79"/>
  <c r="L30" i="79"/>
  <c r="H30" i="79"/>
  <c r="N30" i="79" s="1"/>
  <c r="D30" i="79"/>
  <c r="Z28" i="79"/>
  <c r="X28" i="79"/>
  <c r="R28" i="79"/>
  <c r="N28" i="79"/>
  <c r="L28" i="79"/>
  <c r="B28" i="79"/>
  <c r="V27" i="79"/>
  <c r="T27" i="79"/>
  <c r="Z27" i="79" s="1"/>
  <c r="P27" i="79"/>
  <c r="X27" i="79" s="1"/>
  <c r="N27" i="79"/>
  <c r="H27" i="79"/>
  <c r="F27" i="79"/>
  <c r="D27" i="79"/>
  <c r="L27" i="79" s="1"/>
  <c r="B27" i="79"/>
  <c r="Z26" i="79"/>
  <c r="X26" i="79"/>
  <c r="N26" i="79"/>
  <c r="L26" i="79"/>
  <c r="B26" i="79"/>
  <c r="Z25" i="79"/>
  <c r="T25" i="79"/>
  <c r="R25" i="79"/>
  <c r="P25" i="79"/>
  <c r="X25" i="79" s="1"/>
  <c r="N25" i="79"/>
  <c r="H25" i="79"/>
  <c r="L25" i="79" s="1"/>
  <c r="D25" i="79"/>
  <c r="B25" i="79"/>
  <c r="Z24" i="79"/>
  <c r="X24" i="79"/>
  <c r="N24" i="79"/>
  <c r="L24" i="79"/>
  <c r="F24" i="79"/>
  <c r="B24" i="79"/>
  <c r="Z23" i="79"/>
  <c r="T23" i="79"/>
  <c r="X23" i="79" s="1"/>
  <c r="P23" i="79"/>
  <c r="N23" i="79"/>
  <c r="L23" i="79"/>
  <c r="H23" i="79"/>
  <c r="D23" i="79"/>
  <c r="B23" i="79"/>
  <c r="X22" i="79"/>
  <c r="Z22" i="79" s="1"/>
  <c r="N22" i="79"/>
  <c r="L22" i="79"/>
  <c r="B22" i="79"/>
  <c r="Z21" i="79"/>
  <c r="X21" i="79"/>
  <c r="T21" i="79"/>
  <c r="P21" i="79"/>
  <c r="J21" i="79"/>
  <c r="H21" i="79"/>
  <c r="N21" i="79" s="1"/>
  <c r="D21" i="79"/>
  <c r="L21" i="79" s="1"/>
  <c r="B21" i="79"/>
  <c r="Z20" i="79"/>
  <c r="X20" i="79"/>
  <c r="R20" i="79"/>
  <c r="N20" i="79"/>
  <c r="L20" i="79"/>
  <c r="B20" i="79"/>
  <c r="V19" i="79"/>
  <c r="T19" i="79"/>
  <c r="Z19" i="79" s="1"/>
  <c r="P19" i="79"/>
  <c r="X19" i="79" s="1"/>
  <c r="H19" i="79"/>
  <c r="N19" i="79" s="1"/>
  <c r="F19" i="79"/>
  <c r="D19" i="79"/>
  <c r="L19" i="79" s="1"/>
  <c r="B19" i="79"/>
  <c r="T18" i="79" a="1"/>
  <c r="T18" i="79" s="1"/>
  <c r="T32" i="79" s="1"/>
  <c r="R18" i="79"/>
  <c r="P18" i="79" a="1"/>
  <c r="P18" i="79" s="1"/>
  <c r="H18" i="79" a="1"/>
  <c r="H18" i="79" s="1"/>
  <c r="F18" i="79"/>
  <c r="D18" i="79" a="1"/>
  <c r="D18" i="79" s="1"/>
  <c r="T16" i="79"/>
  <c r="Z16" i="79" s="1"/>
  <c r="P16" i="79"/>
  <c r="D16" i="79"/>
  <c r="X14" i="79"/>
  <c r="V14" i="79"/>
  <c r="T14" i="79"/>
  <c r="Z14" i="79" s="1"/>
  <c r="P14" i="79"/>
  <c r="H14" i="79"/>
  <c r="F14" i="79"/>
  <c r="D14" i="79"/>
  <c r="T12" i="79"/>
  <c r="V22" i="79" s="1"/>
  <c r="P12" i="79"/>
  <c r="R39" i="79" s="1"/>
  <c r="L12" i="79"/>
  <c r="H12" i="79"/>
  <c r="J36" i="79" s="1"/>
  <c r="D12" i="79"/>
  <c r="F26" i="79" s="1"/>
  <c r="D6" i="79"/>
  <c r="D4" i="79"/>
  <c r="Z82" i="78"/>
  <c r="X82" i="78"/>
  <c r="R82" i="78"/>
  <c r="N82" i="78"/>
  <c r="L82" i="78"/>
  <c r="Z78" i="78"/>
  <c r="X78" i="78"/>
  <c r="P78" i="78"/>
  <c r="N78" i="78"/>
  <c r="J78" i="78"/>
  <c r="D78" i="78"/>
  <c r="L78" i="78" s="1"/>
  <c r="B78" i="78"/>
  <c r="Z77" i="78"/>
  <c r="T77" i="78"/>
  <c r="R77" i="78"/>
  <c r="P77" i="78"/>
  <c r="X77" i="78" s="1"/>
  <c r="N77" i="78"/>
  <c r="H77" i="78"/>
  <c r="Z75" i="78"/>
  <c r="X75" i="78"/>
  <c r="L75" i="78"/>
  <c r="N75" i="78" s="1"/>
  <c r="B75" i="78"/>
  <c r="T74" i="78"/>
  <c r="P74" i="78"/>
  <c r="X74" i="78" s="1"/>
  <c r="Z74" i="78" s="1"/>
  <c r="L74" i="78"/>
  <c r="H74" i="78"/>
  <c r="D74" i="78"/>
  <c r="B74" i="78"/>
  <c r="Z73" i="78"/>
  <c r="X73" i="78"/>
  <c r="V73" i="78"/>
  <c r="N73" i="78"/>
  <c r="L73" i="78"/>
  <c r="B73" i="78"/>
  <c r="Z72" i="78"/>
  <c r="X72" i="78"/>
  <c r="N72" i="78"/>
  <c r="L72" i="78"/>
  <c r="B72" i="78"/>
  <c r="Z71" i="78"/>
  <c r="X71" i="78"/>
  <c r="T71" i="78"/>
  <c r="P71" i="78"/>
  <c r="N71" i="78"/>
  <c r="J71" i="78"/>
  <c r="H71" i="78"/>
  <c r="D71" i="78"/>
  <c r="L71" i="78" s="1"/>
  <c r="B71" i="78"/>
  <c r="X70" i="78"/>
  <c r="Z70" i="78" s="1"/>
  <c r="R70" i="78"/>
  <c r="N70" i="78"/>
  <c r="L70" i="78"/>
  <c r="B70" i="78"/>
  <c r="V69" i="78"/>
  <c r="T69" i="78"/>
  <c r="P69" i="78"/>
  <c r="X69" i="78" s="1"/>
  <c r="Z69" i="78" s="1"/>
  <c r="N69" i="78"/>
  <c r="H69" i="78"/>
  <c r="D69" i="78"/>
  <c r="L69" i="78" s="1"/>
  <c r="B69" i="78"/>
  <c r="Z68" i="78"/>
  <c r="X68" i="78"/>
  <c r="N68" i="78"/>
  <c r="L68" i="78"/>
  <c r="B68" i="78"/>
  <c r="Z67" i="78"/>
  <c r="T67" i="78"/>
  <c r="R67" i="78"/>
  <c r="P67" i="78"/>
  <c r="X67" i="78" s="1"/>
  <c r="L67" i="78"/>
  <c r="H67" i="78"/>
  <c r="N67" i="78" s="1"/>
  <c r="D67" i="78"/>
  <c r="B67" i="78"/>
  <c r="Z66" i="78"/>
  <c r="X66" i="78"/>
  <c r="N66" i="78"/>
  <c r="L66" i="78"/>
  <c r="B66" i="78"/>
  <c r="Z65" i="78"/>
  <c r="X65" i="78"/>
  <c r="N65" i="78"/>
  <c r="L65" i="78"/>
  <c r="J65" i="78"/>
  <c r="B65" i="78"/>
  <c r="T64" i="78"/>
  <c r="Z64" i="78" s="1"/>
  <c r="P64" i="78"/>
  <c r="X64" i="78" s="1"/>
  <c r="N64" i="78"/>
  <c r="H64" i="78"/>
  <c r="D64" i="78"/>
  <c r="L64" i="78" s="1"/>
  <c r="B64" i="78"/>
  <c r="Z63" i="78"/>
  <c r="X63" i="78"/>
  <c r="N63" i="78"/>
  <c r="L63" i="78"/>
  <c r="B63" i="78"/>
  <c r="Z62" i="78"/>
  <c r="T62" i="78"/>
  <c r="P62" i="78"/>
  <c r="X62" i="78" s="1"/>
  <c r="L62" i="78"/>
  <c r="H62" i="78"/>
  <c r="N62" i="78" s="1"/>
  <c r="D62" i="78"/>
  <c r="B62" i="78"/>
  <c r="Z61" i="78"/>
  <c r="X61" i="78"/>
  <c r="V61" i="78"/>
  <c r="L61" i="78"/>
  <c r="N61" i="78" s="1"/>
  <c r="B61" i="78"/>
  <c r="Z60" i="78"/>
  <c r="X60" i="78"/>
  <c r="N60" i="78"/>
  <c r="L60" i="78"/>
  <c r="B60" i="78"/>
  <c r="Z59" i="78"/>
  <c r="X59" i="78"/>
  <c r="L59" i="78"/>
  <c r="N59" i="78" s="1"/>
  <c r="B59" i="78"/>
  <c r="T58" i="78"/>
  <c r="P58" i="78"/>
  <c r="X58" i="78" s="1"/>
  <c r="L58" i="78"/>
  <c r="N58" i="78" s="1"/>
  <c r="H58" i="78"/>
  <c r="D58" i="78"/>
  <c r="B58" i="78"/>
  <c r="Z57" i="78"/>
  <c r="X57" i="78"/>
  <c r="V57" i="78"/>
  <c r="N57" i="78"/>
  <c r="L57" i="78"/>
  <c r="B57" i="78"/>
  <c r="Z56" i="78"/>
  <c r="X56" i="78"/>
  <c r="N56" i="78"/>
  <c r="L56" i="78"/>
  <c r="B56" i="78"/>
  <c r="Z55" i="78"/>
  <c r="X55" i="78"/>
  <c r="N55" i="78"/>
  <c r="L55" i="78"/>
  <c r="B55" i="78"/>
  <c r="Z54" i="78"/>
  <c r="X54" i="78"/>
  <c r="N54" i="78"/>
  <c r="L54" i="78"/>
  <c r="B54" i="78"/>
  <c r="T53" i="78"/>
  <c r="P53" i="78"/>
  <c r="X53" i="78" s="1"/>
  <c r="N53" i="78"/>
  <c r="H53" i="78"/>
  <c r="D53" i="78"/>
  <c r="L53" i="78" s="1"/>
  <c r="B53" i="78"/>
  <c r="X52" i="78"/>
  <c r="Z52" i="78" s="1"/>
  <c r="L52" i="78"/>
  <c r="N52" i="78" s="1"/>
  <c r="B52" i="78"/>
  <c r="T51" i="78"/>
  <c r="P51" i="78"/>
  <c r="X51" i="78" s="1"/>
  <c r="Z51" i="78" s="1"/>
  <c r="N51" i="78"/>
  <c r="L51" i="78"/>
  <c r="J51" i="78"/>
  <c r="H51" i="78"/>
  <c r="D51" i="78"/>
  <c r="B51" i="78"/>
  <c r="X50" i="78"/>
  <c r="Z50" i="78" s="1"/>
  <c r="R50" i="78"/>
  <c r="N50" i="78"/>
  <c r="L50" i="78"/>
  <c r="B50" i="78"/>
  <c r="Z49" i="78"/>
  <c r="X49" i="78"/>
  <c r="V49" i="78"/>
  <c r="T49" i="78"/>
  <c r="P49" i="78"/>
  <c r="H49" i="78"/>
  <c r="N49" i="78" s="1"/>
  <c r="D49" i="78"/>
  <c r="B49" i="78"/>
  <c r="X48" i="78"/>
  <c r="Z48" i="78" s="1"/>
  <c r="L48" i="78"/>
  <c r="N48" i="78" s="1"/>
  <c r="B48" i="78"/>
  <c r="T47" i="78"/>
  <c r="R47" i="78"/>
  <c r="P47" i="78"/>
  <c r="H47" i="78"/>
  <c r="N47" i="78" s="1"/>
  <c r="D47" i="78"/>
  <c r="L47" i="78" s="1"/>
  <c r="B47" i="78"/>
  <c r="Z46" i="78"/>
  <c r="X46" i="78"/>
  <c r="N46" i="78"/>
  <c r="L46" i="78"/>
  <c r="B46" i="78"/>
  <c r="T45" i="78"/>
  <c r="Z45" i="78" s="1"/>
  <c r="P45" i="78"/>
  <c r="X45" i="78" s="1"/>
  <c r="N45" i="78"/>
  <c r="H45" i="78"/>
  <c r="D45" i="78"/>
  <c r="L45" i="78" s="1"/>
  <c r="B45" i="78"/>
  <c r="X44" i="78"/>
  <c r="Z44" i="78" s="1"/>
  <c r="N44" i="78"/>
  <c r="L44" i="78"/>
  <c r="B44" i="78"/>
  <c r="Z43" i="78"/>
  <c r="X43" i="78"/>
  <c r="N43" i="78"/>
  <c r="L43" i="78"/>
  <c r="B43" i="78"/>
  <c r="T42" i="78"/>
  <c r="P42" i="78"/>
  <c r="X42" i="78" s="1"/>
  <c r="Z42" i="78" s="1"/>
  <c r="L42" i="78"/>
  <c r="N42" i="78" s="1"/>
  <c r="H42" i="78"/>
  <c r="D42" i="78"/>
  <c r="B42" i="78"/>
  <c r="X41" i="78"/>
  <c r="Z41" i="78" s="1"/>
  <c r="V41" i="78"/>
  <c r="L41" i="78"/>
  <c r="N41" i="78" s="1"/>
  <c r="B41" i="78"/>
  <c r="X40" i="78"/>
  <c r="Z40" i="78" s="1"/>
  <c r="T40" i="78"/>
  <c r="P40" i="78"/>
  <c r="H40" i="78"/>
  <c r="D40" i="78"/>
  <c r="B40" i="78"/>
  <c r="Z39" i="78"/>
  <c r="X39" i="78"/>
  <c r="N39" i="78"/>
  <c r="L39" i="78"/>
  <c r="B39" i="78"/>
  <c r="Z38" i="78"/>
  <c r="X38" i="78"/>
  <c r="R38" i="78"/>
  <c r="N38" i="78"/>
  <c r="L38" i="78"/>
  <c r="B38" i="78"/>
  <c r="Z37" i="78"/>
  <c r="X37" i="78"/>
  <c r="V37" i="78"/>
  <c r="N37" i="78"/>
  <c r="L37" i="78"/>
  <c r="B37" i="78"/>
  <c r="Z36" i="78"/>
  <c r="X36" i="78"/>
  <c r="N36" i="78"/>
  <c r="L36" i="78"/>
  <c r="B36" i="78"/>
  <c r="Z35" i="78"/>
  <c r="X35" i="78"/>
  <c r="N35" i="78"/>
  <c r="L35" i="78"/>
  <c r="B35" i="78"/>
  <c r="Z34" i="78"/>
  <c r="X34" i="78"/>
  <c r="N34" i="78"/>
  <c r="L34" i="78"/>
  <c r="B34" i="78"/>
  <c r="Z33" i="78"/>
  <c r="X33" i="78"/>
  <c r="N33" i="78"/>
  <c r="L33" i="78"/>
  <c r="J33" i="78"/>
  <c r="B33" i="78"/>
  <c r="Z32" i="78"/>
  <c r="X32" i="78"/>
  <c r="N32" i="78"/>
  <c r="L32" i="78"/>
  <c r="B32" i="78"/>
  <c r="X31" i="78"/>
  <c r="Z31" i="78" s="1"/>
  <c r="N31" i="78"/>
  <c r="L31" i="78"/>
  <c r="B31" i="78"/>
  <c r="X30" i="78"/>
  <c r="Z30" i="78" s="1"/>
  <c r="R30" i="78"/>
  <c r="L30" i="78"/>
  <c r="N30" i="78" s="1"/>
  <c r="B30" i="78"/>
  <c r="V29" i="78"/>
  <c r="T29" i="78"/>
  <c r="P29" i="78"/>
  <c r="X29" i="78" s="1"/>
  <c r="Z29" i="78" s="1"/>
  <c r="L29" i="78"/>
  <c r="N29" i="78" s="1"/>
  <c r="H29" i="78"/>
  <c r="D29" i="78"/>
  <c r="B29" i="78"/>
  <c r="X28" i="78"/>
  <c r="Z28" i="78" s="1"/>
  <c r="L28" i="78"/>
  <c r="N28" i="78" s="1"/>
  <c r="B28" i="78"/>
  <c r="Z27" i="78"/>
  <c r="X27" i="78"/>
  <c r="N27" i="78"/>
  <c r="L27" i="78"/>
  <c r="B27" i="78"/>
  <c r="Z26" i="78"/>
  <c r="X26" i="78"/>
  <c r="R26" i="78"/>
  <c r="L26" i="78"/>
  <c r="N26" i="78" s="1"/>
  <c r="B26" i="78"/>
  <c r="Z25" i="78"/>
  <c r="X25" i="78"/>
  <c r="V25" i="78"/>
  <c r="N25" i="78"/>
  <c r="L25" i="78"/>
  <c r="B25" i="78"/>
  <c r="X24" i="78"/>
  <c r="Z24" i="78" s="1"/>
  <c r="L24" i="78"/>
  <c r="N24" i="78" s="1"/>
  <c r="B24" i="78"/>
  <c r="Z23" i="78"/>
  <c r="X23" i="78"/>
  <c r="N23" i="78"/>
  <c r="L23" i="78"/>
  <c r="B23" i="78"/>
  <c r="X22" i="78"/>
  <c r="Z22" i="78" s="1"/>
  <c r="N22" i="78"/>
  <c r="L22" i="78"/>
  <c r="B22" i="78"/>
  <c r="X21" i="78"/>
  <c r="Z21" i="78" s="1"/>
  <c r="N21" i="78"/>
  <c r="L21" i="78"/>
  <c r="J21" i="78"/>
  <c r="B21" i="78"/>
  <c r="X20" i="78"/>
  <c r="Z20" i="78" s="1"/>
  <c r="L20" i="78"/>
  <c r="N20" i="78" s="1"/>
  <c r="B20" i="78"/>
  <c r="X19" i="78"/>
  <c r="Z19" i="78" s="1"/>
  <c r="T19" i="78"/>
  <c r="R19" i="78"/>
  <c r="P19" i="78"/>
  <c r="H19" i="78"/>
  <c r="N19" i="78" s="1"/>
  <c r="D19" i="78"/>
  <c r="L19" i="78" s="1"/>
  <c r="B19" i="78"/>
  <c r="T18" i="78" a="1"/>
  <c r="T18" i="78" s="1"/>
  <c r="P18" i="78" a="1"/>
  <c r="P18" i="78" s="1"/>
  <c r="X18" i="78" s="1"/>
  <c r="H18" i="78" a="1"/>
  <c r="H18" i="78" s="1"/>
  <c r="D18" i="78" a="1"/>
  <c r="D18" i="78"/>
  <c r="V14" i="78"/>
  <c r="T14" i="78"/>
  <c r="P14" i="78"/>
  <c r="X14" i="78" s="1"/>
  <c r="H14" i="78"/>
  <c r="N14" i="78" s="1"/>
  <c r="D14" i="78"/>
  <c r="L14" i="78" s="1"/>
  <c r="T12" i="78"/>
  <c r="V72" i="78" s="1"/>
  <c r="P12" i="78"/>
  <c r="R87" i="78" s="1"/>
  <c r="H12" i="78"/>
  <c r="J84" i="78" s="1"/>
  <c r="D12" i="78"/>
  <c r="F66" i="78" s="1"/>
  <c r="D6" i="78"/>
  <c r="D4" i="78"/>
  <c r="Z28" i="77"/>
  <c r="X28" i="77"/>
  <c r="N28" i="77"/>
  <c r="L28" i="77"/>
  <c r="Z24" i="77"/>
  <c r="X24" i="77"/>
  <c r="T24" i="77"/>
  <c r="P24" i="77"/>
  <c r="H24" i="77"/>
  <c r="N24" i="77" s="1"/>
  <c r="D24" i="77"/>
  <c r="L24" i="77" s="1"/>
  <c r="Z22" i="77"/>
  <c r="X22" i="77"/>
  <c r="N22" i="77"/>
  <c r="L22" i="77"/>
  <c r="B22" i="77"/>
  <c r="Z21" i="77"/>
  <c r="T21" i="77"/>
  <c r="X21" i="77" s="1"/>
  <c r="R21" i="77"/>
  <c r="P21" i="77"/>
  <c r="J21" i="77"/>
  <c r="H21" i="77"/>
  <c r="N21" i="77" s="1"/>
  <c r="D21" i="77"/>
  <c r="L21" i="77" s="1"/>
  <c r="B21" i="77"/>
  <c r="Z20" i="77"/>
  <c r="X20" i="77"/>
  <c r="R20" i="77"/>
  <c r="N20" i="77"/>
  <c r="L20" i="77"/>
  <c r="F20" i="77"/>
  <c r="B20" i="77"/>
  <c r="V19" i="77"/>
  <c r="T19" i="77"/>
  <c r="Z19" i="77" s="1"/>
  <c r="P19" i="77"/>
  <c r="X19" i="77" s="1"/>
  <c r="N19" i="77"/>
  <c r="H19" i="77"/>
  <c r="F19" i="77"/>
  <c r="D19" i="77"/>
  <c r="L19" i="77" s="1"/>
  <c r="B19" i="77"/>
  <c r="T18" i="77" a="1"/>
  <c r="T18" i="77" s="1"/>
  <c r="Z18" i="77" s="1"/>
  <c r="R18" i="77"/>
  <c r="P18" i="77" a="1"/>
  <c r="P18" i="77" s="1"/>
  <c r="X18" i="77" s="1"/>
  <c r="H18" i="77" a="1"/>
  <c r="H18" i="77" s="1"/>
  <c r="N18" i="77" s="1"/>
  <c r="F18" i="77"/>
  <c r="D18" i="77" a="1"/>
  <c r="D18" i="77" s="1"/>
  <c r="L18" i="77" s="1"/>
  <c r="Z16" i="77"/>
  <c r="T16" i="77"/>
  <c r="J16" i="77"/>
  <c r="H16" i="77"/>
  <c r="D16" i="77"/>
  <c r="V14" i="77"/>
  <c r="T14" i="77"/>
  <c r="Z14" i="77" s="1"/>
  <c r="R14" i="77"/>
  <c r="P14" i="77"/>
  <c r="H14" i="77"/>
  <c r="N14" i="77" s="1"/>
  <c r="F14" i="77"/>
  <c r="D14" i="77"/>
  <c r="Z12" i="77"/>
  <c r="X12" i="77"/>
  <c r="T12" i="77"/>
  <c r="V30" i="77" s="1"/>
  <c r="P12" i="77"/>
  <c r="R30" i="77" s="1"/>
  <c r="L12" i="77"/>
  <c r="H12" i="77"/>
  <c r="J28" i="77" s="1"/>
  <c r="D12" i="77"/>
  <c r="F30" i="77" s="1"/>
  <c r="D6" i="77"/>
  <c r="D4" i="77"/>
  <c r="X96" i="76"/>
  <c r="Z96" i="76" s="1"/>
  <c r="N96" i="76"/>
  <c r="L96" i="76"/>
  <c r="Z92" i="76"/>
  <c r="X92" i="76"/>
  <c r="P92" i="76"/>
  <c r="N92" i="76"/>
  <c r="D92" i="76"/>
  <c r="L92" i="76" s="1"/>
  <c r="B92" i="76"/>
  <c r="Z91" i="76"/>
  <c r="T91" i="76"/>
  <c r="P91" i="76"/>
  <c r="X91" i="76" s="1"/>
  <c r="N91" i="76"/>
  <c r="L91" i="76"/>
  <c r="H91" i="76"/>
  <c r="D91" i="76"/>
  <c r="Z89" i="76"/>
  <c r="X89" i="76"/>
  <c r="N89" i="76"/>
  <c r="L89" i="76"/>
  <c r="B89" i="76"/>
  <c r="T88" i="76"/>
  <c r="P88" i="76"/>
  <c r="X88" i="76" s="1"/>
  <c r="H88" i="76"/>
  <c r="D88" i="76"/>
  <c r="L88" i="76" s="1"/>
  <c r="B88" i="76"/>
  <c r="Z87" i="76"/>
  <c r="X87" i="76"/>
  <c r="N87" i="76"/>
  <c r="L87" i="76"/>
  <c r="B87" i="76"/>
  <c r="X86" i="76"/>
  <c r="T86" i="76"/>
  <c r="P86" i="76"/>
  <c r="H86" i="76"/>
  <c r="D86" i="76"/>
  <c r="B86" i="76"/>
  <c r="Z85" i="76"/>
  <c r="X85" i="76"/>
  <c r="N85" i="76"/>
  <c r="L85" i="76"/>
  <c r="B85" i="76"/>
  <c r="T84" i="76"/>
  <c r="P84" i="76"/>
  <c r="N84" i="76"/>
  <c r="H84" i="76"/>
  <c r="D84" i="76"/>
  <c r="L84" i="76" s="1"/>
  <c r="B84" i="76"/>
  <c r="X83" i="76"/>
  <c r="Z83" i="76" s="1"/>
  <c r="N83" i="76"/>
  <c r="L83" i="76"/>
  <c r="B83" i="76"/>
  <c r="X82" i="76"/>
  <c r="Z82" i="76" s="1"/>
  <c r="T82" i="76"/>
  <c r="P82" i="76"/>
  <c r="H82" i="76"/>
  <c r="D82" i="76"/>
  <c r="L82" i="76" s="1"/>
  <c r="B82" i="76"/>
  <c r="Z81" i="76"/>
  <c r="X81" i="76"/>
  <c r="N81" i="76"/>
  <c r="L81" i="76"/>
  <c r="B81" i="76"/>
  <c r="Z80" i="76"/>
  <c r="X80" i="76"/>
  <c r="N80" i="76"/>
  <c r="L80" i="76"/>
  <c r="B80" i="76"/>
  <c r="X79" i="76"/>
  <c r="Z79" i="76" s="1"/>
  <c r="N79" i="76"/>
  <c r="L79" i="76"/>
  <c r="B79" i="76"/>
  <c r="X78" i="76"/>
  <c r="Z78" i="76" s="1"/>
  <c r="L78" i="76"/>
  <c r="N78" i="76" s="1"/>
  <c r="B78" i="76"/>
  <c r="Z77" i="76"/>
  <c r="X77" i="76"/>
  <c r="N77" i="76"/>
  <c r="L77" i="76"/>
  <c r="B77" i="76"/>
  <c r="X76" i="76"/>
  <c r="Z76" i="76" s="1"/>
  <c r="N76" i="76"/>
  <c r="L76" i="76"/>
  <c r="B76" i="76"/>
  <c r="Z75" i="76"/>
  <c r="X75" i="76"/>
  <c r="L75" i="76"/>
  <c r="N75" i="76" s="1"/>
  <c r="B75" i="76"/>
  <c r="X74" i="76"/>
  <c r="Z74" i="76" s="1"/>
  <c r="N74" i="76"/>
  <c r="L74" i="76"/>
  <c r="B74" i="76"/>
  <c r="Z73" i="76"/>
  <c r="X73" i="76"/>
  <c r="N73" i="76"/>
  <c r="L73" i="76"/>
  <c r="B73" i="76"/>
  <c r="T72" i="76"/>
  <c r="Z72" i="76" s="1"/>
  <c r="P72" i="76"/>
  <c r="X72" i="76" s="1"/>
  <c r="H72" i="76"/>
  <c r="D72" i="76"/>
  <c r="L72" i="76" s="1"/>
  <c r="N72" i="76" s="1"/>
  <c r="B72" i="76"/>
  <c r="Z71" i="76"/>
  <c r="X71" i="76"/>
  <c r="N71" i="76"/>
  <c r="L71" i="76"/>
  <c r="B71" i="76"/>
  <c r="T70" i="76"/>
  <c r="P70" i="76"/>
  <c r="X70" i="76" s="1"/>
  <c r="Z70" i="76" s="1"/>
  <c r="L70" i="76"/>
  <c r="N70" i="76" s="1"/>
  <c r="H70" i="76"/>
  <c r="D70" i="76"/>
  <c r="B70" i="76"/>
  <c r="X69" i="76"/>
  <c r="Z69" i="76" s="1"/>
  <c r="N69" i="76"/>
  <c r="L69" i="76"/>
  <c r="B69" i="76"/>
  <c r="X68" i="76"/>
  <c r="Z68" i="76" s="1"/>
  <c r="L68" i="76"/>
  <c r="N68" i="76" s="1"/>
  <c r="B68" i="76"/>
  <c r="Z67" i="76"/>
  <c r="X67" i="76"/>
  <c r="N67" i="76"/>
  <c r="L67" i="76"/>
  <c r="B67" i="76"/>
  <c r="Z66" i="76"/>
  <c r="X66" i="76"/>
  <c r="L66" i="76"/>
  <c r="N66" i="76" s="1"/>
  <c r="B66" i="76"/>
  <c r="T65" i="76"/>
  <c r="P65" i="76"/>
  <c r="X65" i="76" s="1"/>
  <c r="Z65" i="76" s="1"/>
  <c r="N65" i="76"/>
  <c r="L65" i="76"/>
  <c r="H65" i="76"/>
  <c r="D65" i="76"/>
  <c r="B65" i="76"/>
  <c r="X64" i="76"/>
  <c r="Z64" i="76" s="1"/>
  <c r="L64" i="76"/>
  <c r="N64" i="76" s="1"/>
  <c r="B64" i="76"/>
  <c r="Z63" i="76"/>
  <c r="X63" i="76"/>
  <c r="N63" i="76"/>
  <c r="L63" i="76"/>
  <c r="B63" i="76"/>
  <c r="T62" i="76"/>
  <c r="P62" i="76"/>
  <c r="X62" i="76" s="1"/>
  <c r="Z62" i="76" s="1"/>
  <c r="L62" i="76"/>
  <c r="N62" i="76" s="1"/>
  <c r="H62" i="76"/>
  <c r="D62" i="76"/>
  <c r="B62" i="76"/>
  <c r="X61" i="76"/>
  <c r="Z61" i="76" s="1"/>
  <c r="N61" i="76"/>
  <c r="L61" i="76"/>
  <c r="B61" i="76"/>
  <c r="X60" i="76"/>
  <c r="Z60" i="76" s="1"/>
  <c r="T60" i="76"/>
  <c r="P60" i="76"/>
  <c r="H60" i="76"/>
  <c r="D60" i="76"/>
  <c r="B60" i="76"/>
  <c r="X59" i="76"/>
  <c r="Z59" i="76" s="1"/>
  <c r="N59" i="76"/>
  <c r="L59" i="76"/>
  <c r="B59" i="76"/>
  <c r="T58" i="76"/>
  <c r="P58" i="76"/>
  <c r="H58" i="76"/>
  <c r="N58" i="76" s="1"/>
  <c r="D58" i="76"/>
  <c r="L58" i="76" s="1"/>
  <c r="B58" i="76"/>
  <c r="Z57" i="76"/>
  <c r="X57" i="76"/>
  <c r="N57" i="76"/>
  <c r="L57" i="76"/>
  <c r="B57" i="76"/>
  <c r="T56" i="76"/>
  <c r="Z56" i="76" s="1"/>
  <c r="P56" i="76"/>
  <c r="X56" i="76" s="1"/>
  <c r="H56" i="76"/>
  <c r="N56" i="76" s="1"/>
  <c r="D56" i="76"/>
  <c r="L56" i="76" s="1"/>
  <c r="B56" i="76"/>
  <c r="Z55" i="76"/>
  <c r="X55" i="76"/>
  <c r="N55" i="76"/>
  <c r="L55" i="76"/>
  <c r="B55" i="76"/>
  <c r="Z54" i="76"/>
  <c r="X54" i="76"/>
  <c r="N54" i="76"/>
  <c r="L54" i="76"/>
  <c r="B54" i="76"/>
  <c r="T53" i="76"/>
  <c r="P53" i="76"/>
  <c r="X53" i="76" s="1"/>
  <c r="Z53" i="76" s="1"/>
  <c r="N53" i="76"/>
  <c r="L53" i="76"/>
  <c r="H53" i="76"/>
  <c r="D53" i="76"/>
  <c r="B53" i="76"/>
  <c r="X52" i="76"/>
  <c r="Z52" i="76" s="1"/>
  <c r="L52" i="76"/>
  <c r="N52" i="76" s="1"/>
  <c r="B52" i="76"/>
  <c r="Z51" i="76"/>
  <c r="X51" i="76"/>
  <c r="T51" i="76"/>
  <c r="P51" i="76"/>
  <c r="L51" i="76"/>
  <c r="N51" i="76" s="1"/>
  <c r="H51" i="76"/>
  <c r="D51" i="76"/>
  <c r="B51" i="76"/>
  <c r="Z50" i="76"/>
  <c r="X50" i="76"/>
  <c r="N50" i="76"/>
  <c r="L50" i="76"/>
  <c r="B50" i="76"/>
  <c r="Z49" i="76"/>
  <c r="X49" i="76"/>
  <c r="T49" i="76"/>
  <c r="P49" i="76"/>
  <c r="H49" i="76"/>
  <c r="N49" i="76" s="1"/>
  <c r="D49" i="76"/>
  <c r="L49" i="76" s="1"/>
  <c r="B49" i="76"/>
  <c r="Z48" i="76"/>
  <c r="X48" i="76"/>
  <c r="N48" i="76"/>
  <c r="L48" i="76"/>
  <c r="B48" i="76"/>
  <c r="T47" i="76"/>
  <c r="Z47" i="76" s="1"/>
  <c r="P47" i="76"/>
  <c r="X47" i="76" s="1"/>
  <c r="H47" i="76"/>
  <c r="N47" i="76" s="1"/>
  <c r="D47" i="76"/>
  <c r="L47" i="76" s="1"/>
  <c r="B47" i="76"/>
  <c r="Z46" i="76"/>
  <c r="X46" i="76"/>
  <c r="N46" i="76"/>
  <c r="L46" i="76"/>
  <c r="B46" i="76"/>
  <c r="Z45" i="76"/>
  <c r="X45" i="76"/>
  <c r="N45" i="76"/>
  <c r="L45" i="76"/>
  <c r="B45" i="76"/>
  <c r="X44" i="76"/>
  <c r="Z44" i="76" s="1"/>
  <c r="L44" i="76"/>
  <c r="N44" i="76" s="1"/>
  <c r="B44" i="76"/>
  <c r="X43" i="76"/>
  <c r="Z43" i="76" s="1"/>
  <c r="N43" i="76"/>
  <c r="L43" i="76"/>
  <c r="B43" i="76"/>
  <c r="Z42" i="76"/>
  <c r="X42" i="76"/>
  <c r="N42" i="76"/>
  <c r="L42" i="76"/>
  <c r="B42" i="76"/>
  <c r="X41" i="76"/>
  <c r="Z41" i="76" s="1"/>
  <c r="N41" i="76"/>
  <c r="L41" i="76"/>
  <c r="B41" i="76"/>
  <c r="Z40" i="76"/>
  <c r="X40" i="76"/>
  <c r="N40" i="76"/>
  <c r="L40" i="76"/>
  <c r="B40" i="76"/>
  <c r="Z39" i="76"/>
  <c r="X39" i="76"/>
  <c r="N39" i="76"/>
  <c r="L39" i="76"/>
  <c r="B39" i="76"/>
  <c r="Z38" i="76"/>
  <c r="X38" i="76"/>
  <c r="L38" i="76"/>
  <c r="N38" i="76" s="1"/>
  <c r="B38" i="76"/>
  <c r="Z37" i="76"/>
  <c r="X37" i="76"/>
  <c r="N37" i="76"/>
  <c r="L37" i="76"/>
  <c r="J37" i="76"/>
  <c r="B37" i="76"/>
  <c r="T36" i="76"/>
  <c r="P36" i="76"/>
  <c r="X36" i="76" s="1"/>
  <c r="H36" i="76"/>
  <c r="D36" i="76"/>
  <c r="L36" i="76" s="1"/>
  <c r="N36" i="76" s="1"/>
  <c r="B36" i="76"/>
  <c r="Z35" i="76"/>
  <c r="X35" i="76"/>
  <c r="N35" i="76"/>
  <c r="L35" i="76"/>
  <c r="B35" i="76"/>
  <c r="Z34" i="76"/>
  <c r="X34" i="76"/>
  <c r="L34" i="76"/>
  <c r="N34" i="76" s="1"/>
  <c r="B34" i="76"/>
  <c r="Z33" i="76"/>
  <c r="X33" i="76"/>
  <c r="L33" i="76"/>
  <c r="N33" i="76" s="1"/>
  <c r="J33" i="76"/>
  <c r="B33" i="76"/>
  <c r="Z32" i="76"/>
  <c r="X32" i="76"/>
  <c r="N32" i="76"/>
  <c r="L32" i="76"/>
  <c r="B32" i="76"/>
  <c r="Z31" i="76"/>
  <c r="X31" i="76"/>
  <c r="N31" i="76"/>
  <c r="L31" i="76"/>
  <c r="B31" i="76"/>
  <c r="X30" i="76"/>
  <c r="Z30" i="76" s="1"/>
  <c r="N30" i="76"/>
  <c r="L30" i="76"/>
  <c r="B30" i="76"/>
  <c r="X29" i="76"/>
  <c r="Z29" i="76" s="1"/>
  <c r="N29" i="76"/>
  <c r="L29" i="76"/>
  <c r="B29" i="76"/>
  <c r="X28" i="76"/>
  <c r="Z28" i="76" s="1"/>
  <c r="L28" i="76"/>
  <c r="N28" i="76" s="1"/>
  <c r="B28" i="76"/>
  <c r="Z27" i="76"/>
  <c r="X27" i="76"/>
  <c r="L27" i="76"/>
  <c r="N27" i="76" s="1"/>
  <c r="B27" i="76"/>
  <c r="T26" i="76"/>
  <c r="P26" i="76"/>
  <c r="X26" i="76" s="1"/>
  <c r="Z26" i="76" s="1"/>
  <c r="L26" i="76"/>
  <c r="N26" i="76" s="1"/>
  <c r="H26" i="76"/>
  <c r="D26" i="76"/>
  <c r="B26" i="76"/>
  <c r="T25" i="76" a="1"/>
  <c r="T25" i="76" s="1"/>
  <c r="P25" i="76" a="1"/>
  <c r="P25" i="76" s="1"/>
  <c r="X25" i="76" s="1"/>
  <c r="H25" i="76" a="1"/>
  <c r="H25" i="76" s="1"/>
  <c r="D25" i="76" a="1"/>
  <c r="D25" i="76" s="1"/>
  <c r="L25" i="76" s="1"/>
  <c r="T23" i="76"/>
  <c r="Z21" i="76"/>
  <c r="X21" i="76"/>
  <c r="V21" i="76"/>
  <c r="N21" i="76"/>
  <c r="L21" i="76"/>
  <c r="J21" i="76"/>
  <c r="B21" i="76"/>
  <c r="Z20" i="76"/>
  <c r="X20" i="76"/>
  <c r="N20" i="76"/>
  <c r="L20" i="76"/>
  <c r="J20" i="76"/>
  <c r="B20" i="76"/>
  <c r="Z19" i="76"/>
  <c r="X19" i="76"/>
  <c r="L19" i="76"/>
  <c r="N19" i="76" s="1"/>
  <c r="J19" i="76"/>
  <c r="B19" i="76"/>
  <c r="T18" i="76"/>
  <c r="P18" i="76"/>
  <c r="X18" i="76" s="1"/>
  <c r="L18" i="76"/>
  <c r="H18" i="76"/>
  <c r="J18" i="76" s="1"/>
  <c r="D18" i="76"/>
  <c r="Z16" i="76"/>
  <c r="X16" i="76"/>
  <c r="P16" i="76"/>
  <c r="N16" i="76"/>
  <c r="D16" i="76"/>
  <c r="L16" i="76" s="1"/>
  <c r="B16" i="76"/>
  <c r="X15" i="76"/>
  <c r="Z15" i="76" s="1"/>
  <c r="P15" i="76"/>
  <c r="L15" i="76"/>
  <c r="N15" i="76" s="1"/>
  <c r="D15" i="76"/>
  <c r="B15" i="76"/>
  <c r="Z14" i="76"/>
  <c r="P14" i="76"/>
  <c r="X14" i="76" s="1"/>
  <c r="N14" i="76"/>
  <c r="D14" i="76"/>
  <c r="L14" i="76" s="1"/>
  <c r="B14" i="76"/>
  <c r="P13" i="76"/>
  <c r="X13" i="76" s="1"/>
  <c r="Z13" i="76" s="1"/>
  <c r="N13" i="76"/>
  <c r="L13" i="76"/>
  <c r="D13" i="76"/>
  <c r="B13" i="76"/>
  <c r="T12" i="76"/>
  <c r="V69" i="76" s="1"/>
  <c r="H12" i="76"/>
  <c r="D12" i="76"/>
  <c r="F96" i="76" s="1"/>
  <c r="D6" i="76"/>
  <c r="D4" i="76"/>
  <c r="X34" i="75"/>
  <c r="Z34" i="75" s="1"/>
  <c r="L34" i="75"/>
  <c r="N34" i="75" s="1"/>
  <c r="X30" i="75"/>
  <c r="T30" i="75"/>
  <c r="Z30" i="75" s="1"/>
  <c r="P30" i="75"/>
  <c r="H30" i="75"/>
  <c r="N30" i="75" s="1"/>
  <c r="D30" i="75"/>
  <c r="L30" i="75" s="1"/>
  <c r="Z28" i="75"/>
  <c r="X28" i="75"/>
  <c r="N28" i="75"/>
  <c r="L28" i="75"/>
  <c r="B28" i="75"/>
  <c r="Z27" i="75"/>
  <c r="X27" i="75"/>
  <c r="T27" i="75"/>
  <c r="P27" i="75"/>
  <c r="H27" i="75"/>
  <c r="N27" i="75" s="1"/>
  <c r="D27" i="75"/>
  <c r="B27" i="75"/>
  <c r="X26" i="75"/>
  <c r="Z26" i="75" s="1"/>
  <c r="N26" i="75"/>
  <c r="L26" i="75"/>
  <c r="B26" i="75"/>
  <c r="T25" i="75"/>
  <c r="P25" i="75"/>
  <c r="N25" i="75"/>
  <c r="H25" i="75"/>
  <c r="D25" i="75"/>
  <c r="L25" i="75" s="1"/>
  <c r="B25" i="75"/>
  <c r="T24" i="75" a="1"/>
  <c r="T24" i="75" s="1"/>
  <c r="P24" i="75" a="1"/>
  <c r="P24" i="75" s="1"/>
  <c r="H24" i="75" a="1"/>
  <c r="H24" i="75" s="1"/>
  <c r="D24" i="75" a="1"/>
  <c r="D24" i="75" s="1"/>
  <c r="Z20" i="75"/>
  <c r="X20" i="75"/>
  <c r="V20" i="75"/>
  <c r="N20" i="75"/>
  <c r="L20" i="75"/>
  <c r="B20" i="75"/>
  <c r="Z19" i="75"/>
  <c r="X19" i="75"/>
  <c r="N19" i="75"/>
  <c r="L19" i="75"/>
  <c r="B19" i="75"/>
  <c r="Z18" i="75"/>
  <c r="X18" i="75"/>
  <c r="L18" i="75"/>
  <c r="N18" i="75" s="1"/>
  <c r="B18" i="75"/>
  <c r="V17" i="75"/>
  <c r="T17" i="75"/>
  <c r="P17" i="75"/>
  <c r="X17" i="75" s="1"/>
  <c r="L17" i="75"/>
  <c r="N17" i="75" s="1"/>
  <c r="H17" i="75"/>
  <c r="D17" i="75"/>
  <c r="Z15" i="75"/>
  <c r="P15" i="75"/>
  <c r="X15" i="75" s="1"/>
  <c r="N15" i="75"/>
  <c r="L15" i="75"/>
  <c r="D15" i="75"/>
  <c r="B15" i="75"/>
  <c r="Z14" i="75"/>
  <c r="X14" i="75"/>
  <c r="P14" i="75"/>
  <c r="N14" i="75"/>
  <c r="L14" i="75"/>
  <c r="D14" i="75"/>
  <c r="B14" i="75"/>
  <c r="Z13" i="75"/>
  <c r="P13" i="75"/>
  <c r="X13" i="75" s="1"/>
  <c r="D13" i="75"/>
  <c r="D12" i="75" s="1"/>
  <c r="B13" i="75"/>
  <c r="X12" i="75"/>
  <c r="T12" i="75"/>
  <c r="P12" i="75"/>
  <c r="H12" i="75"/>
  <c r="D6" i="75"/>
  <c r="D4" i="75"/>
  <c r="Z92" i="74"/>
  <c r="X92" i="74"/>
  <c r="N92" i="74"/>
  <c r="L92" i="74"/>
  <c r="X88" i="74"/>
  <c r="T88" i="74"/>
  <c r="Z88" i="74" s="1"/>
  <c r="P88" i="74"/>
  <c r="N88" i="74"/>
  <c r="H88" i="74"/>
  <c r="D88" i="74"/>
  <c r="L88" i="74" s="1"/>
  <c r="Z86" i="74"/>
  <c r="X86" i="74"/>
  <c r="N86" i="74"/>
  <c r="L86" i="74"/>
  <c r="B86" i="74"/>
  <c r="X85" i="74"/>
  <c r="Z85" i="74" s="1"/>
  <c r="T85" i="74"/>
  <c r="P85" i="74"/>
  <c r="L85" i="74"/>
  <c r="H85" i="74"/>
  <c r="D85" i="74"/>
  <c r="B85" i="74"/>
  <c r="Z84" i="74"/>
  <c r="X84" i="74"/>
  <c r="V84" i="74"/>
  <c r="N84" i="74"/>
  <c r="L84" i="74"/>
  <c r="B84" i="74"/>
  <c r="Z83" i="74"/>
  <c r="X83" i="74"/>
  <c r="N83" i="74"/>
  <c r="L83" i="74"/>
  <c r="B83" i="74"/>
  <c r="Z82" i="74"/>
  <c r="T82" i="74"/>
  <c r="P82" i="74"/>
  <c r="X82" i="74" s="1"/>
  <c r="N82" i="74"/>
  <c r="L82" i="74"/>
  <c r="J82" i="74"/>
  <c r="H82" i="74"/>
  <c r="D82" i="74"/>
  <c r="B82" i="74"/>
  <c r="X81" i="74"/>
  <c r="Z81" i="74" s="1"/>
  <c r="L81" i="74"/>
  <c r="N81" i="74" s="1"/>
  <c r="B81" i="74"/>
  <c r="Z80" i="74"/>
  <c r="X80" i="74"/>
  <c r="V80" i="74"/>
  <c r="T80" i="74"/>
  <c r="P80" i="74"/>
  <c r="H80" i="74"/>
  <c r="D80" i="74"/>
  <c r="B80" i="74"/>
  <c r="Z79" i="74"/>
  <c r="X79" i="74"/>
  <c r="N79" i="74"/>
  <c r="L79" i="74"/>
  <c r="B79" i="74"/>
  <c r="X78" i="74"/>
  <c r="Z78" i="74" s="1"/>
  <c r="N78" i="74"/>
  <c r="L78" i="74"/>
  <c r="B78" i="74"/>
  <c r="X77" i="74"/>
  <c r="Z77" i="74" s="1"/>
  <c r="L77" i="74"/>
  <c r="N77" i="74" s="1"/>
  <c r="B77" i="74"/>
  <c r="V76" i="74"/>
  <c r="T76" i="74"/>
  <c r="P76" i="74"/>
  <c r="X76" i="74" s="1"/>
  <c r="Z76" i="74" s="1"/>
  <c r="L76" i="74"/>
  <c r="H76" i="74"/>
  <c r="N76" i="74" s="1"/>
  <c r="D76" i="74"/>
  <c r="B76" i="74"/>
  <c r="Z75" i="74"/>
  <c r="X75" i="74"/>
  <c r="L75" i="74"/>
  <c r="N75" i="74" s="1"/>
  <c r="B75" i="74"/>
  <c r="X74" i="74"/>
  <c r="Z74" i="74" s="1"/>
  <c r="N74" i="74"/>
  <c r="L74" i="74"/>
  <c r="B74" i="74"/>
  <c r="T73" i="74"/>
  <c r="P73" i="74"/>
  <c r="H73" i="74"/>
  <c r="D73" i="74"/>
  <c r="L73" i="74" s="1"/>
  <c r="N73" i="74" s="1"/>
  <c r="B73" i="74"/>
  <c r="Z72" i="74"/>
  <c r="X72" i="74"/>
  <c r="N72" i="74"/>
  <c r="L72" i="74"/>
  <c r="J72" i="74"/>
  <c r="B72" i="74"/>
  <c r="Z71" i="74"/>
  <c r="X71" i="74"/>
  <c r="L71" i="74"/>
  <c r="N71" i="74" s="1"/>
  <c r="B71" i="74"/>
  <c r="T70" i="74"/>
  <c r="Z70" i="74" s="1"/>
  <c r="P70" i="74"/>
  <c r="X70" i="74" s="1"/>
  <c r="N70" i="74"/>
  <c r="L70" i="74"/>
  <c r="H70" i="74"/>
  <c r="D70" i="74"/>
  <c r="B70" i="74"/>
  <c r="X69" i="74"/>
  <c r="Z69" i="74" s="1"/>
  <c r="N69" i="74"/>
  <c r="L69" i="74"/>
  <c r="B69" i="74"/>
  <c r="Z68" i="74"/>
  <c r="X68" i="74"/>
  <c r="L68" i="74"/>
  <c r="N68" i="74" s="1"/>
  <c r="J68" i="74"/>
  <c r="B68" i="74"/>
  <c r="T67" i="74"/>
  <c r="P67" i="74"/>
  <c r="X67" i="74" s="1"/>
  <c r="Z67" i="74" s="1"/>
  <c r="L67" i="74"/>
  <c r="N67" i="74" s="1"/>
  <c r="H67" i="74"/>
  <c r="D67" i="74"/>
  <c r="B67" i="74"/>
  <c r="Z66" i="74"/>
  <c r="X66" i="74"/>
  <c r="N66" i="74"/>
  <c r="L66" i="74"/>
  <c r="B66" i="74"/>
  <c r="X65" i="74"/>
  <c r="Z65" i="74" s="1"/>
  <c r="T65" i="74"/>
  <c r="P65" i="74"/>
  <c r="L65" i="74"/>
  <c r="H65" i="74"/>
  <c r="N65" i="74" s="1"/>
  <c r="D65" i="74"/>
  <c r="B65" i="74"/>
  <c r="X64" i="74"/>
  <c r="Z64" i="74" s="1"/>
  <c r="V64" i="74"/>
  <c r="N64" i="74"/>
  <c r="L64" i="74"/>
  <c r="B64" i="74"/>
  <c r="X63" i="74"/>
  <c r="T63" i="74"/>
  <c r="P63" i="74"/>
  <c r="H63" i="74"/>
  <c r="N63" i="74" s="1"/>
  <c r="D63" i="74"/>
  <c r="L63" i="74" s="1"/>
  <c r="B63" i="74"/>
  <c r="Z62" i="74"/>
  <c r="X62" i="74"/>
  <c r="N62" i="74"/>
  <c r="L62" i="74"/>
  <c r="B62" i="74"/>
  <c r="T61" i="74"/>
  <c r="P61" i="74"/>
  <c r="X61" i="74" s="1"/>
  <c r="H61" i="74"/>
  <c r="D61" i="74"/>
  <c r="L61" i="74" s="1"/>
  <c r="N61" i="74" s="1"/>
  <c r="B61" i="74"/>
  <c r="Z60" i="74"/>
  <c r="X60" i="74"/>
  <c r="N60" i="74"/>
  <c r="L60" i="74"/>
  <c r="J60" i="74"/>
  <c r="B60" i="74"/>
  <c r="T59" i="74"/>
  <c r="P59" i="74"/>
  <c r="X59" i="74" s="1"/>
  <c r="Z59" i="74" s="1"/>
  <c r="L59" i="74"/>
  <c r="H59" i="74"/>
  <c r="N59" i="74" s="1"/>
  <c r="D59" i="74"/>
  <c r="B59" i="74"/>
  <c r="Z58" i="74"/>
  <c r="X58" i="74"/>
  <c r="N58" i="74"/>
  <c r="L58" i="74"/>
  <c r="B58" i="74"/>
  <c r="X57" i="74"/>
  <c r="Z57" i="74" s="1"/>
  <c r="N57" i="74"/>
  <c r="L57" i="74"/>
  <c r="B57" i="74"/>
  <c r="Z56" i="74"/>
  <c r="X56" i="74"/>
  <c r="T56" i="74"/>
  <c r="P56" i="74"/>
  <c r="N56" i="74"/>
  <c r="H56" i="74"/>
  <c r="L56" i="74" s="1"/>
  <c r="D56" i="74"/>
  <c r="B56" i="74"/>
  <c r="X55" i="74"/>
  <c r="Z55" i="74" s="1"/>
  <c r="N55" i="74"/>
  <c r="L55" i="74"/>
  <c r="B55" i="74"/>
  <c r="T54" i="74"/>
  <c r="X54" i="74" s="1"/>
  <c r="Z54" i="74" s="1"/>
  <c r="P54" i="74"/>
  <c r="J54" i="74"/>
  <c r="H54" i="74"/>
  <c r="N54" i="74" s="1"/>
  <c r="D54" i="74"/>
  <c r="L54" i="74" s="1"/>
  <c r="B54" i="74"/>
  <c r="X53" i="74"/>
  <c r="Z53" i="74" s="1"/>
  <c r="L53" i="74"/>
  <c r="N53" i="74" s="1"/>
  <c r="B53" i="74"/>
  <c r="V52" i="74"/>
  <c r="T52" i="74"/>
  <c r="Z52" i="74" s="1"/>
  <c r="P52" i="74"/>
  <c r="X52" i="74" s="1"/>
  <c r="H52" i="74"/>
  <c r="N52" i="74" s="1"/>
  <c r="D52" i="74"/>
  <c r="L52" i="74" s="1"/>
  <c r="B52" i="74"/>
  <c r="Z51" i="74"/>
  <c r="X51" i="74"/>
  <c r="L51" i="74"/>
  <c r="N51" i="74" s="1"/>
  <c r="B51" i="74"/>
  <c r="T50" i="74"/>
  <c r="Z50" i="74" s="1"/>
  <c r="P50" i="74"/>
  <c r="X50" i="74" s="1"/>
  <c r="N50" i="74"/>
  <c r="L50" i="74"/>
  <c r="H50" i="74"/>
  <c r="D50" i="74"/>
  <c r="B50" i="74"/>
  <c r="X49" i="74"/>
  <c r="Z49" i="74" s="1"/>
  <c r="N49" i="74"/>
  <c r="L49" i="74"/>
  <c r="B49" i="74"/>
  <c r="Z48" i="74"/>
  <c r="X48" i="74"/>
  <c r="T48" i="74"/>
  <c r="P48" i="74"/>
  <c r="H48" i="74"/>
  <c r="L48" i="74" s="1"/>
  <c r="N48" i="74" s="1"/>
  <c r="D48" i="74"/>
  <c r="B48" i="74"/>
  <c r="Z47" i="74"/>
  <c r="X47" i="74"/>
  <c r="N47" i="74"/>
  <c r="L47" i="74"/>
  <c r="B47" i="74"/>
  <c r="Z46" i="74"/>
  <c r="X46" i="74"/>
  <c r="N46" i="74"/>
  <c r="L46" i="74"/>
  <c r="B46" i="74"/>
  <c r="X45" i="74"/>
  <c r="Z45" i="74" s="1"/>
  <c r="L45" i="74"/>
  <c r="N45" i="74" s="1"/>
  <c r="B45" i="74"/>
  <c r="Z44" i="74"/>
  <c r="X44" i="74"/>
  <c r="N44" i="74"/>
  <c r="L44" i="74"/>
  <c r="J44" i="74"/>
  <c r="B44" i="74"/>
  <c r="Z43" i="74"/>
  <c r="X43" i="74"/>
  <c r="N43" i="74"/>
  <c r="L43" i="74"/>
  <c r="B43" i="74"/>
  <c r="Z42" i="74"/>
  <c r="X42" i="74"/>
  <c r="N42" i="74"/>
  <c r="L42" i="74"/>
  <c r="B42" i="74"/>
  <c r="X41" i="74"/>
  <c r="Z41" i="74" s="1"/>
  <c r="L41" i="74"/>
  <c r="N41" i="74" s="1"/>
  <c r="B41" i="74"/>
  <c r="Z40" i="74"/>
  <c r="X40" i="74"/>
  <c r="V40" i="74"/>
  <c r="N40" i="74"/>
  <c r="L40" i="74"/>
  <c r="B40" i="74"/>
  <c r="X39" i="74"/>
  <c r="Z39" i="74" s="1"/>
  <c r="N39" i="74"/>
  <c r="L39" i="74"/>
  <c r="B39" i="74"/>
  <c r="Z38" i="74"/>
  <c r="X38" i="74"/>
  <c r="V38" i="74"/>
  <c r="N38" i="74"/>
  <c r="L38" i="74"/>
  <c r="B38" i="74"/>
  <c r="X37" i="74"/>
  <c r="Z37" i="74" s="1"/>
  <c r="T37" i="74"/>
  <c r="P37" i="74"/>
  <c r="L37" i="74"/>
  <c r="H37" i="74"/>
  <c r="N37" i="74" s="1"/>
  <c r="D37" i="74"/>
  <c r="B37" i="74"/>
  <c r="Z36" i="74"/>
  <c r="X36" i="74"/>
  <c r="V36" i="74"/>
  <c r="N36" i="74"/>
  <c r="L36" i="74"/>
  <c r="B36" i="74"/>
  <c r="X35" i="74"/>
  <c r="Z35" i="74" s="1"/>
  <c r="N35" i="74"/>
  <c r="L35" i="74"/>
  <c r="B35" i="74"/>
  <c r="Z34" i="74"/>
  <c r="X34" i="74"/>
  <c r="V34" i="74"/>
  <c r="L34" i="74"/>
  <c r="N34" i="74" s="1"/>
  <c r="B34" i="74"/>
  <c r="Z33" i="74"/>
  <c r="X33" i="74"/>
  <c r="N33" i="74"/>
  <c r="L33" i="74"/>
  <c r="B33" i="74"/>
  <c r="Z32" i="74"/>
  <c r="X32" i="74"/>
  <c r="L32" i="74"/>
  <c r="N32" i="74" s="1"/>
  <c r="J32" i="74"/>
  <c r="B32" i="74"/>
  <c r="Z31" i="74"/>
  <c r="X31" i="74"/>
  <c r="L31" i="74"/>
  <c r="N31" i="74" s="1"/>
  <c r="B31" i="74"/>
  <c r="X30" i="74"/>
  <c r="Z30" i="74" s="1"/>
  <c r="N30" i="74"/>
  <c r="L30" i="74"/>
  <c r="B30" i="74"/>
  <c r="X29" i="74"/>
  <c r="Z29" i="74" s="1"/>
  <c r="L29" i="74"/>
  <c r="N29" i="74" s="1"/>
  <c r="B29" i="74"/>
  <c r="X28" i="74"/>
  <c r="Z28" i="74" s="1"/>
  <c r="V28" i="74"/>
  <c r="N28" i="74"/>
  <c r="L28" i="74"/>
  <c r="B28" i="74"/>
  <c r="X27" i="74"/>
  <c r="T27" i="74"/>
  <c r="Z27" i="74" s="1"/>
  <c r="P27" i="74"/>
  <c r="H27" i="74"/>
  <c r="D27" i="74"/>
  <c r="B27" i="74"/>
  <c r="T26" i="74" a="1"/>
  <c r="T26" i="74" s="1"/>
  <c r="P26" i="74" a="1"/>
  <c r="P26" i="74" s="1"/>
  <c r="H26" i="74" a="1"/>
  <c r="H26" i="74" s="1"/>
  <c r="D26" i="74" a="1"/>
  <c r="D26" i="74" s="1"/>
  <c r="Z22" i="74"/>
  <c r="X22" i="74"/>
  <c r="V22" i="74"/>
  <c r="N22" i="74"/>
  <c r="L22" i="74"/>
  <c r="B22" i="74"/>
  <c r="Z21" i="74"/>
  <c r="X21" i="74"/>
  <c r="N21" i="74"/>
  <c r="L21" i="74"/>
  <c r="F21" i="74"/>
  <c r="B21" i="74"/>
  <c r="Z20" i="74"/>
  <c r="X20" i="74"/>
  <c r="N20" i="74"/>
  <c r="L20" i="74"/>
  <c r="J20" i="74"/>
  <c r="B20" i="74"/>
  <c r="X19" i="74"/>
  <c r="Z19" i="74" s="1"/>
  <c r="L19" i="74"/>
  <c r="N19" i="74" s="1"/>
  <c r="B19" i="74"/>
  <c r="T18" i="74"/>
  <c r="Z18" i="74" s="1"/>
  <c r="P18" i="74"/>
  <c r="X18" i="74" s="1"/>
  <c r="H18" i="74"/>
  <c r="D18" i="74"/>
  <c r="L18" i="74" s="1"/>
  <c r="N18" i="74" s="1"/>
  <c r="Z16" i="74"/>
  <c r="P16" i="74"/>
  <c r="X16" i="74" s="1"/>
  <c r="N16" i="74"/>
  <c r="L16" i="74"/>
  <c r="D16" i="74"/>
  <c r="B16" i="74"/>
  <c r="Z15" i="74"/>
  <c r="X15" i="74"/>
  <c r="P15" i="74"/>
  <c r="N15" i="74"/>
  <c r="L15" i="74"/>
  <c r="D15" i="74"/>
  <c r="B15" i="74"/>
  <c r="Z14" i="74"/>
  <c r="P14" i="74"/>
  <c r="N14" i="74"/>
  <c r="L14" i="74"/>
  <c r="D14" i="74"/>
  <c r="B14" i="74"/>
  <c r="P13" i="74"/>
  <c r="X13" i="74" s="1"/>
  <c r="Z13" i="74" s="1"/>
  <c r="D13" i="74"/>
  <c r="D12" i="74" s="1"/>
  <c r="F80" i="74" s="1"/>
  <c r="B13" i="74"/>
  <c r="T12" i="74"/>
  <c r="V81" i="74" s="1"/>
  <c r="H12" i="74"/>
  <c r="D6" i="74"/>
  <c r="D4" i="74"/>
  <c r="X91" i="73"/>
  <c r="Z91" i="73" s="1"/>
  <c r="V91" i="73"/>
  <c r="N91" i="73"/>
  <c r="L91" i="73"/>
  <c r="Z87" i="73"/>
  <c r="T87" i="73"/>
  <c r="P87" i="73"/>
  <c r="X87" i="73" s="1"/>
  <c r="N87" i="73"/>
  <c r="H87" i="73"/>
  <c r="D87" i="73"/>
  <c r="L87" i="73" s="1"/>
  <c r="Z85" i="73"/>
  <c r="X85" i="73"/>
  <c r="V85" i="73"/>
  <c r="N85" i="73"/>
  <c r="L85" i="73"/>
  <c r="B85" i="73"/>
  <c r="X84" i="73"/>
  <c r="T84" i="73"/>
  <c r="Z84" i="73" s="1"/>
  <c r="P84" i="73"/>
  <c r="H84" i="73"/>
  <c r="N84" i="73" s="1"/>
  <c r="D84" i="73"/>
  <c r="B84" i="73"/>
  <c r="Z83" i="73"/>
  <c r="X83" i="73"/>
  <c r="N83" i="73"/>
  <c r="L83" i="73"/>
  <c r="B83" i="73"/>
  <c r="T82" i="73"/>
  <c r="Z82" i="73" s="1"/>
  <c r="P82" i="73"/>
  <c r="N82" i="73"/>
  <c r="H82" i="73"/>
  <c r="D82" i="73"/>
  <c r="L82" i="73" s="1"/>
  <c r="B82" i="73"/>
  <c r="Z81" i="73"/>
  <c r="X81" i="73"/>
  <c r="L81" i="73"/>
  <c r="N81" i="73" s="1"/>
  <c r="J81" i="73"/>
  <c r="B81" i="73"/>
  <c r="Z80" i="73"/>
  <c r="X80" i="73"/>
  <c r="L80" i="73"/>
  <c r="N80" i="73" s="1"/>
  <c r="B80" i="73"/>
  <c r="T79" i="73"/>
  <c r="Z79" i="73" s="1"/>
  <c r="R79" i="73"/>
  <c r="P79" i="73"/>
  <c r="X79" i="73" s="1"/>
  <c r="H79" i="73"/>
  <c r="D79" i="73"/>
  <c r="L79" i="73" s="1"/>
  <c r="N79" i="73" s="1"/>
  <c r="B79" i="73"/>
  <c r="X78" i="73"/>
  <c r="Z78" i="73" s="1"/>
  <c r="N78" i="73"/>
  <c r="L78" i="73"/>
  <c r="B78" i="73"/>
  <c r="Z77" i="73"/>
  <c r="X77" i="73"/>
  <c r="L77" i="73"/>
  <c r="N77" i="73" s="1"/>
  <c r="J77" i="73"/>
  <c r="B77" i="73"/>
  <c r="Z76" i="73"/>
  <c r="X76" i="73"/>
  <c r="N76" i="73"/>
  <c r="L76" i="73"/>
  <c r="B76" i="73"/>
  <c r="Z75" i="73"/>
  <c r="X75" i="73"/>
  <c r="N75" i="73"/>
  <c r="L75" i="73"/>
  <c r="B75" i="73"/>
  <c r="Z74" i="73"/>
  <c r="X74" i="73"/>
  <c r="R74" i="73"/>
  <c r="N74" i="73"/>
  <c r="L74" i="73"/>
  <c r="B74" i="73"/>
  <c r="X73" i="73"/>
  <c r="Z73" i="73" s="1"/>
  <c r="V73" i="73"/>
  <c r="N73" i="73"/>
  <c r="L73" i="73"/>
  <c r="B73" i="73"/>
  <c r="X72" i="73"/>
  <c r="T72" i="73"/>
  <c r="P72" i="73"/>
  <c r="H72" i="73"/>
  <c r="D72" i="73"/>
  <c r="L72" i="73" s="1"/>
  <c r="B72" i="73"/>
  <c r="Z71" i="73"/>
  <c r="X71" i="73"/>
  <c r="N71" i="73"/>
  <c r="L71" i="73"/>
  <c r="B71" i="73"/>
  <c r="Z70" i="73"/>
  <c r="X70" i="73"/>
  <c r="R70" i="73"/>
  <c r="N70" i="73"/>
  <c r="L70" i="73"/>
  <c r="B70" i="73"/>
  <c r="X69" i="73"/>
  <c r="Z69" i="73" s="1"/>
  <c r="V69" i="73"/>
  <c r="N69" i="73"/>
  <c r="L69" i="73"/>
  <c r="B69" i="73"/>
  <c r="X68" i="73"/>
  <c r="T68" i="73"/>
  <c r="Z68" i="73" s="1"/>
  <c r="P68" i="73"/>
  <c r="H68" i="73"/>
  <c r="D68" i="73"/>
  <c r="B68" i="73"/>
  <c r="Z67" i="73"/>
  <c r="X67" i="73"/>
  <c r="N67" i="73"/>
  <c r="L67" i="73"/>
  <c r="B67" i="73"/>
  <c r="Z66" i="73"/>
  <c r="X66" i="73"/>
  <c r="R66" i="73"/>
  <c r="N66" i="73"/>
  <c r="L66" i="73"/>
  <c r="B66" i="73"/>
  <c r="X65" i="73"/>
  <c r="Z65" i="73" s="1"/>
  <c r="V65" i="73"/>
  <c r="N65" i="73"/>
  <c r="L65" i="73"/>
  <c r="B65" i="73"/>
  <c r="X64" i="73"/>
  <c r="T64" i="73"/>
  <c r="P64" i="73"/>
  <c r="H64" i="73"/>
  <c r="D64" i="73"/>
  <c r="L64" i="73" s="1"/>
  <c r="B64" i="73"/>
  <c r="Z63" i="73"/>
  <c r="X63" i="73"/>
  <c r="N63" i="73"/>
  <c r="L63" i="73"/>
  <c r="B63" i="73"/>
  <c r="T62" i="73"/>
  <c r="P62" i="73"/>
  <c r="X62" i="73" s="1"/>
  <c r="H62" i="73"/>
  <c r="D62" i="73"/>
  <c r="L62" i="73" s="1"/>
  <c r="N62" i="73" s="1"/>
  <c r="B62" i="73"/>
  <c r="Z61" i="73"/>
  <c r="X61" i="73"/>
  <c r="L61" i="73"/>
  <c r="N61" i="73" s="1"/>
  <c r="J61" i="73"/>
  <c r="B61" i="73"/>
  <c r="T60" i="73"/>
  <c r="P60" i="73"/>
  <c r="X60" i="73" s="1"/>
  <c r="Z60" i="73" s="1"/>
  <c r="L60" i="73"/>
  <c r="H60" i="73"/>
  <c r="N60" i="73" s="1"/>
  <c r="D60" i="73"/>
  <c r="B60" i="73"/>
  <c r="Z59" i="73"/>
  <c r="X59" i="73"/>
  <c r="N59" i="73"/>
  <c r="L59" i="73"/>
  <c r="B59" i="73"/>
  <c r="X58" i="73"/>
  <c r="T58" i="73"/>
  <c r="Z58" i="73" s="1"/>
  <c r="P58" i="73"/>
  <c r="L58" i="73"/>
  <c r="H58" i="73"/>
  <c r="N58" i="73" s="1"/>
  <c r="D58" i="73"/>
  <c r="B58" i="73"/>
  <c r="X57" i="73"/>
  <c r="Z57" i="73" s="1"/>
  <c r="V57" i="73"/>
  <c r="N57" i="73"/>
  <c r="L57" i="73"/>
  <c r="B57" i="73"/>
  <c r="X56" i="73"/>
  <c r="T56" i="73"/>
  <c r="P56" i="73"/>
  <c r="H56" i="73"/>
  <c r="D56" i="73"/>
  <c r="L56" i="73" s="1"/>
  <c r="B56" i="73"/>
  <c r="Z55" i="73"/>
  <c r="X55" i="73"/>
  <c r="N55" i="73"/>
  <c r="L55" i="73"/>
  <c r="J55" i="73"/>
  <c r="B55" i="73"/>
  <c r="T54" i="73"/>
  <c r="P54" i="73"/>
  <c r="N54" i="73"/>
  <c r="H54" i="73"/>
  <c r="D54" i="73"/>
  <c r="L54" i="73" s="1"/>
  <c r="B54" i="73"/>
  <c r="Z53" i="73"/>
  <c r="X53" i="73"/>
  <c r="L53" i="73"/>
  <c r="N53" i="73" s="1"/>
  <c r="J53" i="73"/>
  <c r="B53" i="73"/>
  <c r="Z52" i="73"/>
  <c r="X52" i="73"/>
  <c r="N52" i="73"/>
  <c r="L52" i="73"/>
  <c r="B52" i="73"/>
  <c r="T51" i="73"/>
  <c r="R51" i="73"/>
  <c r="P51" i="73"/>
  <c r="X51" i="73" s="1"/>
  <c r="Z51" i="73" s="1"/>
  <c r="N51" i="73"/>
  <c r="L51" i="73"/>
  <c r="H51" i="73"/>
  <c r="D51" i="73"/>
  <c r="B51" i="73"/>
  <c r="X50" i="73"/>
  <c r="Z50" i="73" s="1"/>
  <c r="L50" i="73"/>
  <c r="N50" i="73" s="1"/>
  <c r="B50" i="73"/>
  <c r="Z49" i="73"/>
  <c r="X49" i="73"/>
  <c r="T49" i="73"/>
  <c r="P49" i="73"/>
  <c r="N49" i="73"/>
  <c r="J49" i="73"/>
  <c r="H49" i="73"/>
  <c r="L49" i="73" s="1"/>
  <c r="D49" i="73"/>
  <c r="B49" i="73"/>
  <c r="Z48" i="73"/>
  <c r="X48" i="73"/>
  <c r="R48" i="73"/>
  <c r="N48" i="73"/>
  <c r="L48" i="73"/>
  <c r="B48" i="73"/>
  <c r="Z47" i="73"/>
  <c r="T47" i="73"/>
  <c r="P47" i="73"/>
  <c r="X47" i="73" s="1"/>
  <c r="J47" i="73"/>
  <c r="H47" i="73"/>
  <c r="N47" i="73" s="1"/>
  <c r="D47" i="73"/>
  <c r="L47" i="73" s="1"/>
  <c r="B47" i="73"/>
  <c r="Z46" i="73"/>
  <c r="X46" i="73"/>
  <c r="R46" i="73"/>
  <c r="N46" i="73"/>
  <c r="L46" i="73"/>
  <c r="B46" i="73"/>
  <c r="V45" i="73"/>
  <c r="T45" i="73"/>
  <c r="Z45" i="73" s="1"/>
  <c r="R45" i="73"/>
  <c r="P45" i="73"/>
  <c r="X45" i="73" s="1"/>
  <c r="H45" i="73"/>
  <c r="N45" i="73" s="1"/>
  <c r="D45" i="73"/>
  <c r="B45" i="73"/>
  <c r="Z44" i="73"/>
  <c r="X44" i="73"/>
  <c r="N44" i="73"/>
  <c r="L44" i="73"/>
  <c r="B44" i="73"/>
  <c r="Z43" i="73"/>
  <c r="X43" i="73"/>
  <c r="N43" i="73"/>
  <c r="L43" i="73"/>
  <c r="J43" i="73"/>
  <c r="B43" i="73"/>
  <c r="Z42" i="73"/>
  <c r="X42" i="73"/>
  <c r="R42" i="73"/>
  <c r="L42" i="73"/>
  <c r="N42" i="73" s="1"/>
  <c r="B42" i="73"/>
  <c r="Z41" i="73"/>
  <c r="X41" i="73"/>
  <c r="V41" i="73"/>
  <c r="N41" i="73"/>
  <c r="L41" i="73"/>
  <c r="B41" i="73"/>
  <c r="Z40" i="73"/>
  <c r="X40" i="73"/>
  <c r="R40" i="73"/>
  <c r="N40" i="73"/>
  <c r="L40" i="73"/>
  <c r="B40" i="73"/>
  <c r="Z39" i="73"/>
  <c r="X39" i="73"/>
  <c r="V39" i="73"/>
  <c r="N39" i="73"/>
  <c r="L39" i="73"/>
  <c r="B39" i="73"/>
  <c r="X38" i="73"/>
  <c r="Z38" i="73" s="1"/>
  <c r="N38" i="73"/>
  <c r="L38" i="73"/>
  <c r="B38" i="73"/>
  <c r="Z37" i="73"/>
  <c r="X37" i="73"/>
  <c r="N37" i="73"/>
  <c r="L37" i="73"/>
  <c r="J37" i="73"/>
  <c r="B37" i="73"/>
  <c r="Z36" i="73"/>
  <c r="X36" i="73"/>
  <c r="L36" i="73"/>
  <c r="N36" i="73" s="1"/>
  <c r="B36" i="73"/>
  <c r="Z35" i="73"/>
  <c r="X35" i="73"/>
  <c r="N35" i="73"/>
  <c r="L35" i="73"/>
  <c r="J35" i="73"/>
  <c r="B35" i="73"/>
  <c r="T34" i="73"/>
  <c r="P34" i="73"/>
  <c r="X34" i="73" s="1"/>
  <c r="H34" i="73"/>
  <c r="D34" i="73"/>
  <c r="L34" i="73" s="1"/>
  <c r="N34" i="73" s="1"/>
  <c r="B34" i="73"/>
  <c r="Z33" i="73"/>
  <c r="X33" i="73"/>
  <c r="N33" i="73"/>
  <c r="L33" i="73"/>
  <c r="J33" i="73"/>
  <c r="B33" i="73"/>
  <c r="Z32" i="73"/>
  <c r="X32" i="73"/>
  <c r="L32" i="73"/>
  <c r="N32" i="73" s="1"/>
  <c r="B32" i="73"/>
  <c r="Z31" i="73"/>
  <c r="X31" i="73"/>
  <c r="N31" i="73"/>
  <c r="L31" i="73"/>
  <c r="J31" i="73"/>
  <c r="B31" i="73"/>
  <c r="Z30" i="73"/>
  <c r="X30" i="73"/>
  <c r="R30" i="73"/>
  <c r="N30" i="73"/>
  <c r="L30" i="73"/>
  <c r="B30" i="73"/>
  <c r="X29" i="73"/>
  <c r="Z29" i="73" s="1"/>
  <c r="V29" i="73"/>
  <c r="N29" i="73"/>
  <c r="L29" i="73"/>
  <c r="B29" i="73"/>
  <c r="X28" i="73"/>
  <c r="Z28" i="73" s="1"/>
  <c r="R28" i="73"/>
  <c r="N28" i="73"/>
  <c r="L28" i="73"/>
  <c r="B28" i="73"/>
  <c r="Z27" i="73"/>
  <c r="X27" i="73"/>
  <c r="V27" i="73"/>
  <c r="N27" i="73"/>
  <c r="L27" i="73"/>
  <c r="B27" i="73"/>
  <c r="X26" i="73"/>
  <c r="Z26" i="73" s="1"/>
  <c r="N26" i="73"/>
  <c r="L26" i="73"/>
  <c r="B26" i="73"/>
  <c r="Z25" i="73"/>
  <c r="X25" i="73"/>
  <c r="L25" i="73"/>
  <c r="N25" i="73" s="1"/>
  <c r="J25" i="73"/>
  <c r="B25" i="73"/>
  <c r="T24" i="73"/>
  <c r="P24" i="73"/>
  <c r="X24" i="73" s="1"/>
  <c r="Z24" i="73" s="1"/>
  <c r="L24" i="73"/>
  <c r="H24" i="73"/>
  <c r="N24" i="73" s="1"/>
  <c r="D24" i="73"/>
  <c r="B24" i="73"/>
  <c r="T23" i="73" a="1"/>
  <c r="T23" i="73" s="1"/>
  <c r="V23" i="73" s="1"/>
  <c r="P23" i="73" a="1"/>
  <c r="P23" i="73" s="1"/>
  <c r="X23" i="73" s="1"/>
  <c r="H23" i="73" a="1"/>
  <c r="H23" i="73" s="1"/>
  <c r="J23" i="73" s="1"/>
  <c r="D23" i="73" a="1"/>
  <c r="D23" i="73" s="1"/>
  <c r="L23" i="73" s="1"/>
  <c r="N23" i="73" s="1"/>
  <c r="Z19" i="73"/>
  <c r="X19" i="73"/>
  <c r="N19" i="73"/>
  <c r="L19" i="73"/>
  <c r="J19" i="73"/>
  <c r="B19" i="73"/>
  <c r="Z18" i="73"/>
  <c r="X18" i="73"/>
  <c r="R18" i="73"/>
  <c r="N18" i="73"/>
  <c r="L18" i="73"/>
  <c r="J18" i="73"/>
  <c r="B18" i="73"/>
  <c r="Z17" i="73"/>
  <c r="X17" i="73"/>
  <c r="V17" i="73"/>
  <c r="N17" i="73"/>
  <c r="L17" i="73"/>
  <c r="B17" i="73"/>
  <c r="X16" i="73"/>
  <c r="T16" i="73"/>
  <c r="R16" i="73"/>
  <c r="P16" i="73"/>
  <c r="H16" i="73"/>
  <c r="D16" i="73"/>
  <c r="Z14" i="73"/>
  <c r="X14" i="73"/>
  <c r="P14" i="73"/>
  <c r="D14" i="73"/>
  <c r="L14" i="73" s="1"/>
  <c r="N14" i="73" s="1"/>
  <c r="B14" i="73"/>
  <c r="Z13" i="73"/>
  <c r="X13" i="73"/>
  <c r="P13" i="73"/>
  <c r="L13" i="73"/>
  <c r="N13" i="73" s="1"/>
  <c r="D13" i="73"/>
  <c r="B13" i="73"/>
  <c r="X12" i="73"/>
  <c r="T12" i="73"/>
  <c r="V78" i="73" s="1"/>
  <c r="P12" i="73"/>
  <c r="R84" i="73" s="1"/>
  <c r="H12" i="73"/>
  <c r="J74" i="73" s="1"/>
  <c r="D12" i="73"/>
  <c r="D6" i="73"/>
  <c r="D4" i="73"/>
  <c r="Z27" i="72"/>
  <c r="X27" i="72"/>
  <c r="L27" i="72"/>
  <c r="N27" i="72" s="1"/>
  <c r="F27" i="72"/>
  <c r="X23" i="72"/>
  <c r="T23" i="72"/>
  <c r="Z23" i="72" s="1"/>
  <c r="P23" i="72"/>
  <c r="H23" i="72"/>
  <c r="N23" i="72" s="1"/>
  <c r="D23" i="72"/>
  <c r="Z21" i="72"/>
  <c r="T21" i="72"/>
  <c r="P21" i="72"/>
  <c r="X21" i="72" s="1"/>
  <c r="L21" i="72"/>
  <c r="J21" i="72"/>
  <c r="H21" i="72"/>
  <c r="N21" i="72" s="1"/>
  <c r="D21" i="72"/>
  <c r="H19" i="72"/>
  <c r="D19" i="72"/>
  <c r="D25" i="72" s="1"/>
  <c r="Z17" i="72"/>
  <c r="X17" i="72"/>
  <c r="L17" i="72"/>
  <c r="N17" i="72" s="1"/>
  <c r="F17" i="72"/>
  <c r="B17" i="72"/>
  <c r="T16" i="72"/>
  <c r="P16" i="72"/>
  <c r="X16" i="72" s="1"/>
  <c r="Z16" i="72" s="1"/>
  <c r="N16" i="72"/>
  <c r="L16" i="72"/>
  <c r="H16" i="72"/>
  <c r="F16" i="72"/>
  <c r="D16" i="72"/>
  <c r="Z14" i="72"/>
  <c r="P14" i="72"/>
  <c r="N14" i="72"/>
  <c r="L14" i="72"/>
  <c r="D14" i="72"/>
  <c r="B14" i="72"/>
  <c r="X13" i="72"/>
  <c r="Z13" i="72" s="1"/>
  <c r="P13" i="72"/>
  <c r="N13" i="72"/>
  <c r="L13" i="72"/>
  <c r="D13" i="72"/>
  <c r="B13" i="72"/>
  <c r="T12" i="72"/>
  <c r="N12" i="72"/>
  <c r="L12" i="72"/>
  <c r="H12" i="72"/>
  <c r="J16" i="72" s="1"/>
  <c r="D12" i="72"/>
  <c r="D6" i="72"/>
  <c r="D4" i="72"/>
  <c r="Z79" i="71"/>
  <c r="X79" i="71"/>
  <c r="N79" i="71"/>
  <c r="L79" i="71"/>
  <c r="T75" i="71"/>
  <c r="Z75" i="71" s="1"/>
  <c r="P75" i="71"/>
  <c r="X75" i="71" s="1"/>
  <c r="N75" i="71"/>
  <c r="L75" i="71"/>
  <c r="H75" i="71"/>
  <c r="D75" i="71"/>
  <c r="Z73" i="71"/>
  <c r="X73" i="71"/>
  <c r="N73" i="71"/>
  <c r="L73" i="71"/>
  <c r="B73" i="71"/>
  <c r="X72" i="71"/>
  <c r="T72" i="71"/>
  <c r="P72" i="71"/>
  <c r="H72" i="71"/>
  <c r="N72" i="71" s="1"/>
  <c r="D72" i="71"/>
  <c r="B72" i="71"/>
  <c r="Z71" i="71"/>
  <c r="X71" i="71"/>
  <c r="N71" i="71"/>
  <c r="L71" i="71"/>
  <c r="B71" i="71"/>
  <c r="T70" i="71"/>
  <c r="P70" i="71"/>
  <c r="H70" i="71"/>
  <c r="D70" i="71"/>
  <c r="B70" i="71"/>
  <c r="Z69" i="71"/>
  <c r="X69" i="71"/>
  <c r="N69" i="71"/>
  <c r="L69" i="71"/>
  <c r="B69" i="71"/>
  <c r="Z68" i="71"/>
  <c r="X68" i="71"/>
  <c r="N68" i="71"/>
  <c r="L68" i="71"/>
  <c r="B68" i="71"/>
  <c r="Z67" i="71"/>
  <c r="X67" i="71"/>
  <c r="N67" i="71"/>
  <c r="L67" i="71"/>
  <c r="B67" i="71"/>
  <c r="Z66" i="71"/>
  <c r="X66" i="71"/>
  <c r="N66" i="71"/>
  <c r="L66" i="71"/>
  <c r="B66" i="71"/>
  <c r="Z65" i="71"/>
  <c r="T65" i="71"/>
  <c r="P65" i="71"/>
  <c r="X65" i="71" s="1"/>
  <c r="H65" i="71"/>
  <c r="D65" i="71"/>
  <c r="L65" i="71" s="1"/>
  <c r="N65" i="71" s="1"/>
  <c r="B65" i="71"/>
  <c r="Z64" i="71"/>
  <c r="X64" i="71"/>
  <c r="N64" i="71"/>
  <c r="L64" i="71"/>
  <c r="B64" i="71"/>
  <c r="Z63" i="71"/>
  <c r="X63" i="71"/>
  <c r="N63" i="71"/>
  <c r="L63" i="71"/>
  <c r="B63" i="71"/>
  <c r="X62" i="71"/>
  <c r="Z62" i="71" s="1"/>
  <c r="N62" i="71"/>
  <c r="L62" i="71"/>
  <c r="B62" i="71"/>
  <c r="T61" i="71"/>
  <c r="P61" i="71"/>
  <c r="X61" i="71" s="1"/>
  <c r="Z61" i="71" s="1"/>
  <c r="H61" i="71"/>
  <c r="D61" i="71"/>
  <c r="L61" i="71" s="1"/>
  <c r="N61" i="71" s="1"/>
  <c r="B61" i="71"/>
  <c r="X60" i="71"/>
  <c r="Z60" i="71" s="1"/>
  <c r="L60" i="71"/>
  <c r="N60" i="71" s="1"/>
  <c r="B60" i="71"/>
  <c r="Z59" i="71"/>
  <c r="X59" i="71"/>
  <c r="N59" i="71"/>
  <c r="L59" i="71"/>
  <c r="B59" i="71"/>
  <c r="X58" i="71"/>
  <c r="T58" i="71"/>
  <c r="P58" i="71"/>
  <c r="H58" i="71"/>
  <c r="D58" i="71"/>
  <c r="L58" i="71" s="1"/>
  <c r="B58" i="71"/>
  <c r="X57" i="71"/>
  <c r="Z57" i="71" s="1"/>
  <c r="N57" i="71"/>
  <c r="L57" i="71"/>
  <c r="B57" i="71"/>
  <c r="X56" i="71"/>
  <c r="Z56" i="71" s="1"/>
  <c r="L56" i="71"/>
  <c r="N56" i="71" s="1"/>
  <c r="B56" i="71"/>
  <c r="T55" i="71"/>
  <c r="P55" i="71"/>
  <c r="X55" i="71" s="1"/>
  <c r="Z55" i="71" s="1"/>
  <c r="L55" i="71"/>
  <c r="H55" i="71"/>
  <c r="N55" i="71" s="1"/>
  <c r="D55" i="71"/>
  <c r="B55" i="71"/>
  <c r="Z54" i="71"/>
  <c r="X54" i="71"/>
  <c r="N54" i="71"/>
  <c r="L54" i="71"/>
  <c r="B54" i="71"/>
  <c r="X53" i="71"/>
  <c r="T53" i="71"/>
  <c r="Z53" i="71" s="1"/>
  <c r="P53" i="71"/>
  <c r="N53" i="71"/>
  <c r="L53" i="71"/>
  <c r="H53" i="71"/>
  <c r="D53" i="71"/>
  <c r="B53" i="71"/>
  <c r="X52" i="71"/>
  <c r="Z52" i="71" s="1"/>
  <c r="L52" i="71"/>
  <c r="N52" i="71" s="1"/>
  <c r="B52" i="71"/>
  <c r="Z51" i="71"/>
  <c r="X51" i="71"/>
  <c r="T51" i="71"/>
  <c r="P51" i="71"/>
  <c r="N51" i="71"/>
  <c r="H51" i="71"/>
  <c r="D51" i="71"/>
  <c r="L51" i="71" s="1"/>
  <c r="B51" i="71"/>
  <c r="X50" i="71"/>
  <c r="Z50" i="71" s="1"/>
  <c r="N50" i="71"/>
  <c r="L50" i="71"/>
  <c r="B50" i="71"/>
  <c r="T49" i="71"/>
  <c r="P49" i="71"/>
  <c r="X49" i="71" s="1"/>
  <c r="Z49" i="71" s="1"/>
  <c r="H49" i="71"/>
  <c r="D49" i="71"/>
  <c r="L49" i="71" s="1"/>
  <c r="N49" i="71" s="1"/>
  <c r="B49" i="71"/>
  <c r="Z48" i="71"/>
  <c r="X48" i="71"/>
  <c r="N48" i="71"/>
  <c r="L48" i="71"/>
  <c r="B48" i="71"/>
  <c r="Z47" i="71"/>
  <c r="T47" i="71"/>
  <c r="P47" i="71"/>
  <c r="X47" i="71" s="1"/>
  <c r="L47" i="71"/>
  <c r="H47" i="71"/>
  <c r="N47" i="71" s="1"/>
  <c r="D47" i="71"/>
  <c r="B47" i="71"/>
  <c r="Z46" i="71"/>
  <c r="X46" i="71"/>
  <c r="N46" i="71"/>
  <c r="L46" i="71"/>
  <c r="B46" i="71"/>
  <c r="X45" i="71"/>
  <c r="T45" i="71"/>
  <c r="Z45" i="71" s="1"/>
  <c r="P45" i="71"/>
  <c r="N45" i="71"/>
  <c r="L45" i="71"/>
  <c r="H45" i="71"/>
  <c r="D45" i="71"/>
  <c r="B45" i="71"/>
  <c r="Z44" i="71"/>
  <c r="X44" i="71"/>
  <c r="N44" i="71"/>
  <c r="L44" i="71"/>
  <c r="B44" i="71"/>
  <c r="Z43" i="71"/>
  <c r="X43" i="71"/>
  <c r="N43" i="71"/>
  <c r="L43" i="71"/>
  <c r="B43" i="71"/>
  <c r="Z42" i="71"/>
  <c r="X42" i="71"/>
  <c r="L42" i="71"/>
  <c r="N42" i="71" s="1"/>
  <c r="B42" i="71"/>
  <c r="Z41" i="71"/>
  <c r="X41" i="71"/>
  <c r="N41" i="71"/>
  <c r="L41" i="71"/>
  <c r="B41" i="71"/>
  <c r="Z40" i="71"/>
  <c r="X40" i="71"/>
  <c r="N40" i="71"/>
  <c r="L40" i="71"/>
  <c r="B40" i="71"/>
  <c r="Z39" i="71"/>
  <c r="X39" i="71"/>
  <c r="N39" i="71"/>
  <c r="L39" i="71"/>
  <c r="B39" i="71"/>
  <c r="X38" i="71"/>
  <c r="Z38" i="71" s="1"/>
  <c r="N38" i="71"/>
  <c r="L38" i="71"/>
  <c r="B38" i="71"/>
  <c r="Z37" i="71"/>
  <c r="X37" i="71"/>
  <c r="N37" i="71"/>
  <c r="L37" i="71"/>
  <c r="B37" i="71"/>
  <c r="Z36" i="71"/>
  <c r="X36" i="71"/>
  <c r="N36" i="71"/>
  <c r="L36" i="71"/>
  <c r="B36" i="71"/>
  <c r="Z35" i="71"/>
  <c r="X35" i="71"/>
  <c r="N35" i="71"/>
  <c r="L35" i="71"/>
  <c r="B35" i="71"/>
  <c r="T34" i="71"/>
  <c r="Z34" i="71" s="1"/>
  <c r="P34" i="71"/>
  <c r="X34" i="71" s="1"/>
  <c r="N34" i="71"/>
  <c r="L34" i="71"/>
  <c r="H34" i="71"/>
  <c r="D34" i="71"/>
  <c r="B34" i="71"/>
  <c r="Z33" i="71"/>
  <c r="X33" i="71"/>
  <c r="N33" i="71"/>
  <c r="L33" i="71"/>
  <c r="B33" i="71"/>
  <c r="Z32" i="71"/>
  <c r="X32" i="71"/>
  <c r="N32" i="71"/>
  <c r="L32" i="71"/>
  <c r="B32" i="71"/>
  <c r="Z31" i="71"/>
  <c r="X31" i="71"/>
  <c r="N31" i="71"/>
  <c r="L31" i="71"/>
  <c r="B31" i="71"/>
  <c r="Z30" i="71"/>
  <c r="X30" i="71"/>
  <c r="N30" i="71"/>
  <c r="L30" i="71"/>
  <c r="B30" i="71"/>
  <c r="Z29" i="71"/>
  <c r="X29" i="71"/>
  <c r="N29" i="71"/>
  <c r="L29" i="71"/>
  <c r="B29" i="71"/>
  <c r="Z28" i="71"/>
  <c r="X28" i="71"/>
  <c r="N28" i="71"/>
  <c r="L28" i="71"/>
  <c r="B28" i="71"/>
  <c r="X27" i="71"/>
  <c r="Z27" i="71" s="1"/>
  <c r="N27" i="71"/>
  <c r="L27" i="71"/>
  <c r="B27" i="71"/>
  <c r="Z26" i="71"/>
  <c r="X26" i="71"/>
  <c r="N26" i="71"/>
  <c r="L26" i="71"/>
  <c r="B26" i="71"/>
  <c r="X25" i="71"/>
  <c r="Z25" i="71" s="1"/>
  <c r="L25" i="71"/>
  <c r="N25" i="71" s="1"/>
  <c r="B25" i="71"/>
  <c r="Z24" i="71"/>
  <c r="X24" i="71"/>
  <c r="N24" i="71"/>
  <c r="L24" i="71"/>
  <c r="B24" i="71"/>
  <c r="T23" i="71"/>
  <c r="P23" i="71"/>
  <c r="X23" i="71" s="1"/>
  <c r="L23" i="71"/>
  <c r="N23" i="71" s="1"/>
  <c r="H23" i="71"/>
  <c r="D23" i="71"/>
  <c r="B23" i="71"/>
  <c r="T22" i="71" a="1"/>
  <c r="T22" i="71" s="1"/>
  <c r="P22" i="71" a="1"/>
  <c r="P22" i="71" s="1"/>
  <c r="H22" i="71" a="1"/>
  <c r="H22" i="71" s="1"/>
  <c r="D22" i="71" a="1"/>
  <c r="D22" i="71" s="1"/>
  <c r="Z18" i="71"/>
  <c r="X18" i="71"/>
  <c r="V18" i="71"/>
  <c r="N18" i="71"/>
  <c r="L18" i="71"/>
  <c r="B18" i="71"/>
  <c r="X17" i="71"/>
  <c r="Z17" i="71" s="1"/>
  <c r="L17" i="71"/>
  <c r="N17" i="71" s="1"/>
  <c r="B17" i="71"/>
  <c r="T16" i="71"/>
  <c r="P16" i="71"/>
  <c r="X16" i="71" s="1"/>
  <c r="Z16" i="71" s="1"/>
  <c r="H16" i="71"/>
  <c r="D16" i="71"/>
  <c r="L16" i="71" s="1"/>
  <c r="N16" i="71" s="1"/>
  <c r="X14" i="71"/>
  <c r="Z14" i="71" s="1"/>
  <c r="P14" i="71"/>
  <c r="L14" i="71"/>
  <c r="N14" i="71" s="1"/>
  <c r="D14" i="71"/>
  <c r="B14" i="71"/>
  <c r="P13" i="71"/>
  <c r="X13" i="71" s="1"/>
  <c r="Z13" i="71" s="1"/>
  <c r="D13" i="71"/>
  <c r="D12" i="71" s="1"/>
  <c r="B13" i="71"/>
  <c r="T12" i="71"/>
  <c r="V71" i="71" s="1"/>
  <c r="P12" i="71"/>
  <c r="R45" i="71" s="1"/>
  <c r="H12" i="71"/>
  <c r="D6" i="71"/>
  <c r="D4" i="71"/>
  <c r="X83" i="69"/>
  <c r="Z83" i="69" s="1"/>
  <c r="L83" i="69"/>
  <c r="N83" i="69" s="1"/>
  <c r="X79" i="69"/>
  <c r="Z79" i="69" s="1"/>
  <c r="P79" i="69"/>
  <c r="L79" i="69"/>
  <c r="N79" i="69" s="1"/>
  <c r="D79" i="69"/>
  <c r="B79" i="69"/>
  <c r="Z78" i="69"/>
  <c r="P78" i="69"/>
  <c r="X78" i="69" s="1"/>
  <c r="N78" i="69"/>
  <c r="L78" i="69"/>
  <c r="D78" i="69"/>
  <c r="B78" i="69"/>
  <c r="Z77" i="69"/>
  <c r="P77" i="69"/>
  <c r="X77" i="69" s="1"/>
  <c r="N77" i="69"/>
  <c r="D77" i="69"/>
  <c r="L77" i="69" s="1"/>
  <c r="B77" i="69"/>
  <c r="T76" i="69"/>
  <c r="P76" i="69"/>
  <c r="X76" i="69" s="1"/>
  <c r="Z76" i="69" s="1"/>
  <c r="H76" i="69"/>
  <c r="X74" i="69"/>
  <c r="Z74" i="69" s="1"/>
  <c r="L74" i="69"/>
  <c r="N74" i="69" s="1"/>
  <c r="B74" i="69"/>
  <c r="T73" i="69"/>
  <c r="P73" i="69"/>
  <c r="X73" i="69" s="1"/>
  <c r="Z73" i="69" s="1"/>
  <c r="H73" i="69"/>
  <c r="D73" i="69"/>
  <c r="L73" i="69" s="1"/>
  <c r="B73" i="69"/>
  <c r="Z72" i="69"/>
  <c r="X72" i="69"/>
  <c r="L72" i="69"/>
  <c r="N72" i="69" s="1"/>
  <c r="B72" i="69"/>
  <c r="X71" i="69"/>
  <c r="Z71" i="69" s="1"/>
  <c r="L71" i="69"/>
  <c r="N71" i="69" s="1"/>
  <c r="B71" i="69"/>
  <c r="X70" i="69"/>
  <c r="Z70" i="69" s="1"/>
  <c r="T70" i="69"/>
  <c r="P70" i="69"/>
  <c r="H70" i="69"/>
  <c r="N70" i="69" s="1"/>
  <c r="D70" i="69"/>
  <c r="L70" i="69" s="1"/>
  <c r="B70" i="69"/>
  <c r="Z69" i="69"/>
  <c r="X69" i="69"/>
  <c r="N69" i="69"/>
  <c r="L69" i="69"/>
  <c r="B69" i="69"/>
  <c r="T68" i="69"/>
  <c r="Z68" i="69" s="1"/>
  <c r="P68" i="69"/>
  <c r="X68" i="69" s="1"/>
  <c r="N68" i="69"/>
  <c r="H68" i="69"/>
  <c r="D68" i="69"/>
  <c r="L68" i="69" s="1"/>
  <c r="B68" i="69"/>
  <c r="X67" i="69"/>
  <c r="Z67" i="69" s="1"/>
  <c r="L67" i="69"/>
  <c r="N67" i="69" s="1"/>
  <c r="B67" i="69"/>
  <c r="T66" i="69"/>
  <c r="P66" i="69"/>
  <c r="X66" i="69" s="1"/>
  <c r="Z66" i="69" s="1"/>
  <c r="H66" i="69"/>
  <c r="D66" i="69"/>
  <c r="B66" i="69"/>
  <c r="Z65" i="69"/>
  <c r="X65" i="69"/>
  <c r="N65" i="69"/>
  <c r="L65" i="69"/>
  <c r="B65" i="69"/>
  <c r="T64" i="69"/>
  <c r="P64" i="69"/>
  <c r="L64" i="69"/>
  <c r="H64" i="69"/>
  <c r="N64" i="69" s="1"/>
  <c r="D64" i="69"/>
  <c r="B64" i="69"/>
  <c r="X63" i="69"/>
  <c r="Z63" i="69" s="1"/>
  <c r="N63" i="69"/>
  <c r="L63" i="69"/>
  <c r="B63" i="69"/>
  <c r="X62" i="69"/>
  <c r="T62" i="69"/>
  <c r="Z62" i="69" s="1"/>
  <c r="P62" i="69"/>
  <c r="H62" i="69"/>
  <c r="D62" i="69"/>
  <c r="L62" i="69" s="1"/>
  <c r="B62" i="69"/>
  <c r="Z61" i="69"/>
  <c r="X61" i="69"/>
  <c r="N61" i="69"/>
  <c r="L61" i="69"/>
  <c r="B61" i="69"/>
  <c r="T60" i="69"/>
  <c r="P60" i="69"/>
  <c r="X60" i="69" s="1"/>
  <c r="H60" i="69"/>
  <c r="D60" i="69"/>
  <c r="L60" i="69" s="1"/>
  <c r="B60" i="69"/>
  <c r="Z59" i="69"/>
  <c r="X59" i="69"/>
  <c r="N59" i="69"/>
  <c r="L59" i="69"/>
  <c r="B59" i="69"/>
  <c r="T58" i="69"/>
  <c r="Z58" i="69" s="1"/>
  <c r="P58" i="69"/>
  <c r="X58" i="69" s="1"/>
  <c r="H58" i="69"/>
  <c r="N58" i="69" s="1"/>
  <c r="D58" i="69"/>
  <c r="B58" i="69"/>
  <c r="Z57" i="69"/>
  <c r="X57" i="69"/>
  <c r="N57" i="69"/>
  <c r="L57" i="69"/>
  <c r="B57" i="69"/>
  <c r="T56" i="69"/>
  <c r="P56" i="69"/>
  <c r="L56" i="69"/>
  <c r="H56" i="69"/>
  <c r="N56" i="69" s="1"/>
  <c r="D56" i="69"/>
  <c r="B56" i="69"/>
  <c r="Z55" i="69"/>
  <c r="X55" i="69"/>
  <c r="N55" i="69"/>
  <c r="L55" i="69"/>
  <c r="B55" i="69"/>
  <c r="Z54" i="69"/>
  <c r="X54" i="69"/>
  <c r="N54" i="69"/>
  <c r="L54" i="69"/>
  <c r="B54" i="69"/>
  <c r="Z53" i="69"/>
  <c r="X53" i="69"/>
  <c r="N53" i="69"/>
  <c r="L53" i="69"/>
  <c r="B53" i="69"/>
  <c r="X52" i="69"/>
  <c r="Z52" i="69" s="1"/>
  <c r="N52" i="69"/>
  <c r="L52" i="69"/>
  <c r="B52" i="69"/>
  <c r="Z51" i="69"/>
  <c r="X51" i="69"/>
  <c r="N51" i="69"/>
  <c r="L51" i="69"/>
  <c r="B51" i="69"/>
  <c r="Z50" i="69"/>
  <c r="X50" i="69"/>
  <c r="N50" i="69"/>
  <c r="L50" i="69"/>
  <c r="B50" i="69"/>
  <c r="Z49" i="69"/>
  <c r="X49" i="69"/>
  <c r="N49" i="69"/>
  <c r="L49" i="69"/>
  <c r="B49" i="69"/>
  <c r="Z48" i="69"/>
  <c r="X48" i="69"/>
  <c r="N48" i="69"/>
  <c r="L48" i="69"/>
  <c r="B48" i="69"/>
  <c r="Z47" i="69"/>
  <c r="X47" i="69"/>
  <c r="N47" i="69"/>
  <c r="L47" i="69"/>
  <c r="B47" i="69"/>
  <c r="Z46" i="69"/>
  <c r="X46" i="69"/>
  <c r="N46" i="69"/>
  <c r="L46" i="69"/>
  <c r="B46" i="69"/>
  <c r="T45" i="69"/>
  <c r="P45" i="69"/>
  <c r="X45" i="69" s="1"/>
  <c r="Z45" i="69" s="1"/>
  <c r="H45" i="69"/>
  <c r="D45" i="69"/>
  <c r="L45" i="69" s="1"/>
  <c r="N45" i="69" s="1"/>
  <c r="B45" i="69"/>
  <c r="Z44" i="69"/>
  <c r="X44" i="69"/>
  <c r="L44" i="69"/>
  <c r="N44" i="69" s="1"/>
  <c r="B44" i="69"/>
  <c r="Z43" i="69"/>
  <c r="X43" i="69"/>
  <c r="N43" i="69"/>
  <c r="L43" i="69"/>
  <c r="B43" i="69"/>
  <c r="X42" i="69"/>
  <c r="Z42" i="69" s="1"/>
  <c r="L42" i="69"/>
  <c r="N42" i="69" s="1"/>
  <c r="B42" i="69"/>
  <c r="Z41" i="69"/>
  <c r="X41" i="69"/>
  <c r="N41" i="69"/>
  <c r="L41" i="69"/>
  <c r="B41" i="69"/>
  <c r="Z40" i="69"/>
  <c r="X40" i="69"/>
  <c r="N40" i="69"/>
  <c r="L40" i="69"/>
  <c r="B40" i="69"/>
  <c r="Z39" i="69"/>
  <c r="X39" i="69"/>
  <c r="N39" i="69"/>
  <c r="L39" i="69"/>
  <c r="B39" i="69"/>
  <c r="X38" i="69"/>
  <c r="Z38" i="69" s="1"/>
  <c r="L38" i="69"/>
  <c r="N38" i="69" s="1"/>
  <c r="B38" i="69"/>
  <c r="Z37" i="69"/>
  <c r="X37" i="69"/>
  <c r="N37" i="69"/>
  <c r="L37" i="69"/>
  <c r="B37" i="69"/>
  <c r="Z36" i="69"/>
  <c r="X36" i="69"/>
  <c r="L36" i="69"/>
  <c r="N36" i="69" s="1"/>
  <c r="B36" i="69"/>
  <c r="Z35" i="69"/>
  <c r="X35" i="69"/>
  <c r="V35" i="69"/>
  <c r="N35" i="69"/>
  <c r="L35" i="69"/>
  <c r="B35" i="69"/>
  <c r="X34" i="69"/>
  <c r="T34" i="69"/>
  <c r="Z34" i="69" s="1"/>
  <c r="P34" i="69"/>
  <c r="H34" i="69"/>
  <c r="D34" i="69"/>
  <c r="L34" i="69" s="1"/>
  <c r="B34" i="69"/>
  <c r="T33" i="69" a="1"/>
  <c r="T33" i="69" s="1"/>
  <c r="P33" i="69" a="1"/>
  <c r="P33" i="69" s="1"/>
  <c r="H33" i="69" a="1"/>
  <c r="H33" i="69" s="1"/>
  <c r="D33" i="69" a="1"/>
  <c r="D33" i="69" s="1"/>
  <c r="L33" i="69" s="1"/>
  <c r="Z29" i="69"/>
  <c r="X29" i="69"/>
  <c r="N29" i="69"/>
  <c r="L29" i="69"/>
  <c r="B29" i="69"/>
  <c r="Z28" i="69"/>
  <c r="X28" i="69"/>
  <c r="N28" i="69"/>
  <c r="L28" i="69"/>
  <c r="B28" i="69"/>
  <c r="Z27" i="69"/>
  <c r="X27" i="69"/>
  <c r="V27" i="69"/>
  <c r="N27" i="69"/>
  <c r="L27" i="69"/>
  <c r="B27" i="69"/>
  <c r="Z26" i="69"/>
  <c r="X26" i="69"/>
  <c r="V26" i="69"/>
  <c r="N26" i="69"/>
  <c r="L26" i="69"/>
  <c r="B26" i="69"/>
  <c r="Z25" i="69"/>
  <c r="X25" i="69"/>
  <c r="N25" i="69"/>
  <c r="L25" i="69"/>
  <c r="B25" i="69"/>
  <c r="Z24" i="69"/>
  <c r="X24" i="69"/>
  <c r="N24" i="69"/>
  <c r="L24" i="69"/>
  <c r="B24" i="69"/>
  <c r="Z23" i="69"/>
  <c r="X23" i="69"/>
  <c r="V23" i="69"/>
  <c r="N23" i="69"/>
  <c r="L23" i="69"/>
  <c r="B23" i="69"/>
  <c r="Z22" i="69"/>
  <c r="X22" i="69"/>
  <c r="N22" i="69"/>
  <c r="L22" i="69"/>
  <c r="B22" i="69"/>
  <c r="Z21" i="69"/>
  <c r="X21" i="69"/>
  <c r="V21" i="69"/>
  <c r="N21" i="69"/>
  <c r="L21" i="69"/>
  <c r="B21" i="69"/>
  <c r="X20" i="69"/>
  <c r="Z20" i="69" s="1"/>
  <c r="N20" i="69"/>
  <c r="L20" i="69"/>
  <c r="B20" i="69"/>
  <c r="V19" i="69"/>
  <c r="T19" i="69"/>
  <c r="P19" i="69"/>
  <c r="X19" i="69" s="1"/>
  <c r="H19" i="69"/>
  <c r="D19" i="69"/>
  <c r="L19" i="69" s="1"/>
  <c r="N19" i="69" s="1"/>
  <c r="Z17" i="69"/>
  <c r="P17" i="69"/>
  <c r="X17" i="69" s="1"/>
  <c r="N17" i="69"/>
  <c r="L17" i="69"/>
  <c r="D17" i="69"/>
  <c r="B17" i="69"/>
  <c r="Z16" i="69"/>
  <c r="P16" i="69"/>
  <c r="X16" i="69" s="1"/>
  <c r="N16" i="69"/>
  <c r="D16" i="69"/>
  <c r="L16" i="69" s="1"/>
  <c r="B16" i="69"/>
  <c r="Z15" i="69"/>
  <c r="X15" i="69"/>
  <c r="P15" i="69"/>
  <c r="N15" i="69"/>
  <c r="L15" i="69"/>
  <c r="D15" i="69"/>
  <c r="B15" i="69"/>
  <c r="X14" i="69"/>
  <c r="Z14" i="69" s="1"/>
  <c r="P14" i="69"/>
  <c r="D14" i="69"/>
  <c r="L14" i="69" s="1"/>
  <c r="N14" i="69" s="1"/>
  <c r="B14" i="69"/>
  <c r="P13" i="69"/>
  <c r="X13" i="69" s="1"/>
  <c r="Z13" i="69" s="1"/>
  <c r="D13" i="69"/>
  <c r="L13" i="69" s="1"/>
  <c r="N13" i="69" s="1"/>
  <c r="B13" i="69"/>
  <c r="T12" i="69"/>
  <c r="V74" i="69" s="1"/>
  <c r="P12" i="69"/>
  <c r="R83" i="69" s="1"/>
  <c r="H12" i="69"/>
  <c r="J79" i="69" s="1"/>
  <c r="D12" i="69"/>
  <c r="F70" i="69" s="1"/>
  <c r="D6" i="69"/>
  <c r="D4" i="69"/>
  <c r="X80" i="68"/>
  <c r="Z80" i="68" s="1"/>
  <c r="L80" i="68"/>
  <c r="N80" i="68" s="1"/>
  <c r="X76" i="68"/>
  <c r="Z76" i="68" s="1"/>
  <c r="P76" i="68"/>
  <c r="N76" i="68"/>
  <c r="D76" i="68"/>
  <c r="L76" i="68" s="1"/>
  <c r="B76" i="68"/>
  <c r="T75" i="68"/>
  <c r="P75" i="68"/>
  <c r="X75" i="68" s="1"/>
  <c r="Z75" i="68" s="1"/>
  <c r="N75" i="68"/>
  <c r="H75" i="68"/>
  <c r="X73" i="68"/>
  <c r="Z73" i="68" s="1"/>
  <c r="N73" i="68"/>
  <c r="L73" i="68"/>
  <c r="B73" i="68"/>
  <c r="X72" i="68"/>
  <c r="T72" i="68"/>
  <c r="Z72" i="68" s="1"/>
  <c r="P72" i="68"/>
  <c r="H72" i="68"/>
  <c r="N72" i="68" s="1"/>
  <c r="D72" i="68"/>
  <c r="L72" i="68" s="1"/>
  <c r="B72" i="68"/>
  <c r="Z71" i="68"/>
  <c r="X71" i="68"/>
  <c r="N71" i="68"/>
  <c r="L71" i="68"/>
  <c r="B71" i="68"/>
  <c r="Z70" i="68"/>
  <c r="X70" i="68"/>
  <c r="L70" i="68"/>
  <c r="N70" i="68" s="1"/>
  <c r="B70" i="68"/>
  <c r="X69" i="68"/>
  <c r="Z69" i="68" s="1"/>
  <c r="N69" i="68"/>
  <c r="L69" i="68"/>
  <c r="B69" i="68"/>
  <c r="X68" i="68"/>
  <c r="Z68" i="68" s="1"/>
  <c r="N68" i="68"/>
  <c r="L68" i="68"/>
  <c r="B68" i="68"/>
  <c r="Z67" i="68"/>
  <c r="X67" i="68"/>
  <c r="N67" i="68"/>
  <c r="L67" i="68"/>
  <c r="B67" i="68"/>
  <c r="T66" i="68"/>
  <c r="P66" i="68"/>
  <c r="L66" i="68"/>
  <c r="H66" i="68"/>
  <c r="N66" i="68" s="1"/>
  <c r="D66" i="68"/>
  <c r="B66" i="68"/>
  <c r="Z65" i="68"/>
  <c r="X65" i="68"/>
  <c r="N65" i="68"/>
  <c r="L65" i="68"/>
  <c r="B65" i="68"/>
  <c r="X64" i="68"/>
  <c r="T64" i="68"/>
  <c r="Z64" i="68" s="1"/>
  <c r="P64" i="68"/>
  <c r="H64" i="68"/>
  <c r="N64" i="68" s="1"/>
  <c r="D64" i="68"/>
  <c r="L64" i="68" s="1"/>
  <c r="B64" i="68"/>
  <c r="Z63" i="68"/>
  <c r="X63" i="68"/>
  <c r="N63" i="68"/>
  <c r="L63" i="68"/>
  <c r="B63" i="68"/>
  <c r="T62" i="68"/>
  <c r="P62" i="68"/>
  <c r="X62" i="68" s="1"/>
  <c r="H62" i="68"/>
  <c r="D62" i="68"/>
  <c r="L62" i="68" s="1"/>
  <c r="B62" i="68"/>
  <c r="Z61" i="68"/>
  <c r="X61" i="68"/>
  <c r="N61" i="68"/>
  <c r="L61" i="68"/>
  <c r="B61" i="68"/>
  <c r="X60" i="68"/>
  <c r="Z60" i="68" s="1"/>
  <c r="L60" i="68"/>
  <c r="N60" i="68" s="1"/>
  <c r="B60" i="68"/>
  <c r="Z59" i="68"/>
  <c r="X59" i="68"/>
  <c r="N59" i="68"/>
  <c r="L59" i="68"/>
  <c r="B59" i="68"/>
  <c r="T58" i="68"/>
  <c r="P58" i="68"/>
  <c r="X58" i="68" s="1"/>
  <c r="H58" i="68"/>
  <c r="D58" i="68"/>
  <c r="L58" i="68" s="1"/>
  <c r="B58" i="68"/>
  <c r="Z57" i="68"/>
  <c r="X57" i="68"/>
  <c r="N57" i="68"/>
  <c r="L57" i="68"/>
  <c r="B57" i="68"/>
  <c r="T56" i="68"/>
  <c r="Z56" i="68" s="1"/>
  <c r="P56" i="68"/>
  <c r="X56" i="68" s="1"/>
  <c r="H56" i="68"/>
  <c r="N56" i="68" s="1"/>
  <c r="D56" i="68"/>
  <c r="B56" i="68"/>
  <c r="Z55" i="68"/>
  <c r="X55" i="68"/>
  <c r="N55" i="68"/>
  <c r="L55" i="68"/>
  <c r="B55" i="68"/>
  <c r="X54" i="68"/>
  <c r="Z54" i="68" s="1"/>
  <c r="N54" i="68"/>
  <c r="L54" i="68"/>
  <c r="B54" i="68"/>
  <c r="T53" i="68"/>
  <c r="P53" i="68"/>
  <c r="X53" i="68" s="1"/>
  <c r="Z53" i="68" s="1"/>
  <c r="H53" i="68"/>
  <c r="D53" i="68"/>
  <c r="L53" i="68" s="1"/>
  <c r="N53" i="68" s="1"/>
  <c r="B53" i="68"/>
  <c r="X52" i="68"/>
  <c r="Z52" i="68" s="1"/>
  <c r="L52" i="68"/>
  <c r="N52" i="68" s="1"/>
  <c r="B52" i="68"/>
  <c r="T51" i="68"/>
  <c r="P51" i="68"/>
  <c r="X51" i="68" s="1"/>
  <c r="Z51" i="68" s="1"/>
  <c r="H51" i="68"/>
  <c r="D51" i="68"/>
  <c r="L51" i="68" s="1"/>
  <c r="B51" i="68"/>
  <c r="Z50" i="68"/>
  <c r="X50" i="68"/>
  <c r="L50" i="68"/>
  <c r="N50" i="68" s="1"/>
  <c r="B50" i="68"/>
  <c r="T49" i="68"/>
  <c r="Z49" i="68" s="1"/>
  <c r="P49" i="68"/>
  <c r="X49" i="68" s="1"/>
  <c r="N49" i="68"/>
  <c r="L49" i="68"/>
  <c r="H49" i="68"/>
  <c r="D49" i="68"/>
  <c r="B49" i="68"/>
  <c r="X48" i="68"/>
  <c r="Z48" i="68" s="1"/>
  <c r="L48" i="68"/>
  <c r="N48" i="68" s="1"/>
  <c r="B48" i="68"/>
  <c r="Z47" i="68"/>
  <c r="X47" i="68"/>
  <c r="T47" i="68"/>
  <c r="P47" i="68"/>
  <c r="H47" i="68"/>
  <c r="L47" i="68" s="1"/>
  <c r="N47" i="68" s="1"/>
  <c r="D47" i="68"/>
  <c r="B47" i="68"/>
  <c r="Z46" i="68"/>
  <c r="X46" i="68"/>
  <c r="N46" i="68"/>
  <c r="L46" i="68"/>
  <c r="B46" i="68"/>
  <c r="Z45" i="68"/>
  <c r="X45" i="68"/>
  <c r="N45" i="68"/>
  <c r="L45" i="68"/>
  <c r="B45" i="68"/>
  <c r="X44" i="68"/>
  <c r="Z44" i="68" s="1"/>
  <c r="N44" i="68"/>
  <c r="L44" i="68"/>
  <c r="B44" i="68"/>
  <c r="Z43" i="68"/>
  <c r="X43" i="68"/>
  <c r="N43" i="68"/>
  <c r="L43" i="68"/>
  <c r="B43" i="68"/>
  <c r="Z42" i="68"/>
  <c r="X42" i="68"/>
  <c r="N42" i="68"/>
  <c r="L42" i="68"/>
  <c r="B42" i="68"/>
  <c r="Z41" i="68"/>
  <c r="X41" i="68"/>
  <c r="N41" i="68"/>
  <c r="L41" i="68"/>
  <c r="B41" i="68"/>
  <c r="X40" i="68"/>
  <c r="Z40" i="68" s="1"/>
  <c r="L40" i="68"/>
  <c r="N40" i="68" s="1"/>
  <c r="B40" i="68"/>
  <c r="Z39" i="68"/>
  <c r="X39" i="68"/>
  <c r="N39" i="68"/>
  <c r="L39" i="68"/>
  <c r="B39" i="68"/>
  <c r="X38" i="68"/>
  <c r="Z38" i="68" s="1"/>
  <c r="N38" i="68"/>
  <c r="L38" i="68"/>
  <c r="B38" i="68"/>
  <c r="Z37" i="68"/>
  <c r="X37" i="68"/>
  <c r="N37" i="68"/>
  <c r="L37" i="68"/>
  <c r="B37" i="68"/>
  <c r="T36" i="68"/>
  <c r="P36" i="68"/>
  <c r="X36" i="68" s="1"/>
  <c r="Z36" i="68" s="1"/>
  <c r="L36" i="68"/>
  <c r="H36" i="68"/>
  <c r="N36" i="68" s="1"/>
  <c r="D36" i="68"/>
  <c r="B36" i="68"/>
  <c r="Z35" i="68"/>
  <c r="X35" i="68"/>
  <c r="N35" i="68"/>
  <c r="L35" i="68"/>
  <c r="B35" i="68"/>
  <c r="X34" i="68"/>
  <c r="Z34" i="68" s="1"/>
  <c r="N34" i="68"/>
  <c r="L34" i="68"/>
  <c r="B34" i="68"/>
  <c r="Z33" i="68"/>
  <c r="X33" i="68"/>
  <c r="N33" i="68"/>
  <c r="L33" i="68"/>
  <c r="B33" i="68"/>
  <c r="Z32" i="68"/>
  <c r="X32" i="68"/>
  <c r="N32" i="68"/>
  <c r="L32" i="68"/>
  <c r="B32" i="68"/>
  <c r="Z31" i="68"/>
  <c r="X31" i="68"/>
  <c r="N31" i="68"/>
  <c r="L31" i="68"/>
  <c r="B31" i="68"/>
  <c r="Z30" i="68"/>
  <c r="X30" i="68"/>
  <c r="L30" i="68"/>
  <c r="N30" i="68" s="1"/>
  <c r="B30" i="68"/>
  <c r="Z29" i="68"/>
  <c r="X29" i="68"/>
  <c r="N29" i="68"/>
  <c r="L29" i="68"/>
  <c r="B29" i="68"/>
  <c r="X28" i="68"/>
  <c r="Z28" i="68" s="1"/>
  <c r="L28" i="68"/>
  <c r="N28" i="68" s="1"/>
  <c r="B28" i="68"/>
  <c r="Z27" i="68"/>
  <c r="X27" i="68"/>
  <c r="N27" i="68"/>
  <c r="L27" i="68"/>
  <c r="B27" i="68"/>
  <c r="X26" i="68"/>
  <c r="T26" i="68"/>
  <c r="Z26" i="68" s="1"/>
  <c r="P26" i="68"/>
  <c r="L26" i="68"/>
  <c r="H26" i="68"/>
  <c r="N26" i="68" s="1"/>
  <c r="D26" i="68"/>
  <c r="B26" i="68"/>
  <c r="T25" i="68" a="1"/>
  <c r="T25" i="68" s="1"/>
  <c r="P25" i="68" a="1"/>
  <c r="P25" i="68" s="1"/>
  <c r="X25" i="68" s="1"/>
  <c r="H25" i="68" a="1"/>
  <c r="H25" i="68" s="1"/>
  <c r="D25" i="68" a="1"/>
  <c r="D25" i="68" s="1"/>
  <c r="L25" i="68" s="1"/>
  <c r="T23" i="68"/>
  <c r="Z21" i="68"/>
  <c r="X21" i="68"/>
  <c r="V21" i="68"/>
  <c r="N21" i="68"/>
  <c r="L21" i="68"/>
  <c r="B21" i="68"/>
  <c r="Z20" i="68"/>
  <c r="X20" i="68"/>
  <c r="N20" i="68"/>
  <c r="L20" i="68"/>
  <c r="B20" i="68"/>
  <c r="Z19" i="68"/>
  <c r="T19" i="68"/>
  <c r="P19" i="68"/>
  <c r="X19" i="68" s="1"/>
  <c r="N19" i="68"/>
  <c r="J19" i="68"/>
  <c r="H19" i="68"/>
  <c r="L19" i="68" s="1"/>
  <c r="D19" i="68"/>
  <c r="Z17" i="68"/>
  <c r="X17" i="68"/>
  <c r="P17" i="68"/>
  <c r="N17" i="68"/>
  <c r="L17" i="68"/>
  <c r="D17" i="68"/>
  <c r="B17" i="68"/>
  <c r="Z16" i="68"/>
  <c r="P16" i="68"/>
  <c r="X16" i="68" s="1"/>
  <c r="N16" i="68"/>
  <c r="D16" i="68"/>
  <c r="L16" i="68" s="1"/>
  <c r="B16" i="68"/>
  <c r="Z15" i="68"/>
  <c r="P15" i="68"/>
  <c r="P12" i="68" s="1"/>
  <c r="N15" i="68"/>
  <c r="L15" i="68"/>
  <c r="D15" i="68"/>
  <c r="B15" i="68"/>
  <c r="X14" i="68"/>
  <c r="Z14" i="68" s="1"/>
  <c r="P14" i="68"/>
  <c r="L14" i="68"/>
  <c r="N14" i="68" s="1"/>
  <c r="D14" i="68"/>
  <c r="B14" i="68"/>
  <c r="P13" i="68"/>
  <c r="X13" i="68" s="1"/>
  <c r="Z13" i="68" s="1"/>
  <c r="D13" i="68"/>
  <c r="D12" i="68" s="1"/>
  <c r="B13" i="68"/>
  <c r="T12" i="68"/>
  <c r="H12" i="68"/>
  <c r="J80" i="68" s="1"/>
  <c r="D6" i="68"/>
  <c r="D4" i="68"/>
  <c r="X114" i="67"/>
  <c r="Z114" i="67" s="1"/>
  <c r="N114" i="67"/>
  <c r="L114" i="67"/>
  <c r="Z110" i="67"/>
  <c r="X110" i="67"/>
  <c r="P110" i="67"/>
  <c r="N110" i="67"/>
  <c r="D110" i="67"/>
  <c r="L110" i="67" s="1"/>
  <c r="B110" i="67"/>
  <c r="P109" i="67"/>
  <c r="X109" i="67" s="1"/>
  <c r="Z109" i="67" s="1"/>
  <c r="N109" i="67"/>
  <c r="L109" i="67"/>
  <c r="D109" i="67"/>
  <c r="B109" i="67"/>
  <c r="X108" i="67"/>
  <c r="Z108" i="67" s="1"/>
  <c r="P108" i="67"/>
  <c r="P107" i="67" s="1"/>
  <c r="X107" i="67" s="1"/>
  <c r="Z107" i="67" s="1"/>
  <c r="N108" i="67"/>
  <c r="D108" i="67"/>
  <c r="L108" i="67" s="1"/>
  <c r="B108" i="67"/>
  <c r="V107" i="67"/>
  <c r="T107" i="67"/>
  <c r="H107" i="67"/>
  <c r="Z105" i="67"/>
  <c r="X105" i="67"/>
  <c r="N105" i="67"/>
  <c r="L105" i="67"/>
  <c r="J105" i="67"/>
  <c r="B105" i="67"/>
  <c r="T104" i="67"/>
  <c r="P104" i="67"/>
  <c r="X104" i="67" s="1"/>
  <c r="H104" i="67"/>
  <c r="D104" i="67"/>
  <c r="L104" i="67" s="1"/>
  <c r="B104" i="67"/>
  <c r="Z103" i="67"/>
  <c r="X103" i="67"/>
  <c r="N103" i="67"/>
  <c r="L103" i="67"/>
  <c r="B103" i="67"/>
  <c r="T102" i="67"/>
  <c r="Z102" i="67" s="1"/>
  <c r="P102" i="67"/>
  <c r="X102" i="67" s="1"/>
  <c r="L102" i="67"/>
  <c r="H102" i="67"/>
  <c r="N102" i="67" s="1"/>
  <c r="D102" i="67"/>
  <c r="B102" i="67"/>
  <c r="Z101" i="67"/>
  <c r="X101" i="67"/>
  <c r="N101" i="67"/>
  <c r="L101" i="67"/>
  <c r="B101" i="67"/>
  <c r="X100" i="67"/>
  <c r="T100" i="67"/>
  <c r="Z100" i="67" s="1"/>
  <c r="P100" i="67"/>
  <c r="H100" i="67"/>
  <c r="L100" i="67" s="1"/>
  <c r="D100" i="67"/>
  <c r="B100" i="67"/>
  <c r="Z99" i="67"/>
  <c r="X99" i="67"/>
  <c r="N99" i="67"/>
  <c r="L99" i="67"/>
  <c r="B99" i="67"/>
  <c r="Z98" i="67"/>
  <c r="X98" i="67"/>
  <c r="N98" i="67"/>
  <c r="L98" i="67"/>
  <c r="B98" i="67"/>
  <c r="Z97" i="67"/>
  <c r="X97" i="67"/>
  <c r="N97" i="67"/>
  <c r="L97" i="67"/>
  <c r="B97" i="67"/>
  <c r="Z96" i="67"/>
  <c r="X96" i="67"/>
  <c r="N96" i="67"/>
  <c r="L96" i="67"/>
  <c r="B96" i="67"/>
  <c r="T95" i="67"/>
  <c r="P95" i="67"/>
  <c r="X95" i="67" s="1"/>
  <c r="Z95" i="67" s="1"/>
  <c r="L95" i="67"/>
  <c r="N95" i="67" s="1"/>
  <c r="H95" i="67"/>
  <c r="D95" i="67"/>
  <c r="B95" i="67"/>
  <c r="Z94" i="67"/>
  <c r="X94" i="67"/>
  <c r="L94" i="67"/>
  <c r="N94" i="67" s="1"/>
  <c r="B94" i="67"/>
  <c r="Z93" i="67"/>
  <c r="X93" i="67"/>
  <c r="N93" i="67"/>
  <c r="L93" i="67"/>
  <c r="B93" i="67"/>
  <c r="Z92" i="67"/>
  <c r="X92" i="67"/>
  <c r="T92" i="67"/>
  <c r="P92" i="67"/>
  <c r="J92" i="67"/>
  <c r="H92" i="67"/>
  <c r="D92" i="67"/>
  <c r="L92" i="67" s="1"/>
  <c r="B92" i="67"/>
  <c r="Z91" i="67"/>
  <c r="X91" i="67"/>
  <c r="N91" i="67"/>
  <c r="L91" i="67"/>
  <c r="B91" i="67"/>
  <c r="X90" i="67"/>
  <c r="Z90" i="67" s="1"/>
  <c r="V90" i="67"/>
  <c r="L90" i="67"/>
  <c r="N90" i="67" s="1"/>
  <c r="B90" i="67"/>
  <c r="X89" i="67"/>
  <c r="Z89" i="67" s="1"/>
  <c r="V89" i="67"/>
  <c r="N89" i="67"/>
  <c r="L89" i="67"/>
  <c r="B89" i="67"/>
  <c r="Z88" i="67"/>
  <c r="X88" i="67"/>
  <c r="T88" i="67"/>
  <c r="P88" i="67"/>
  <c r="J88" i="67"/>
  <c r="H88" i="67"/>
  <c r="N88" i="67" s="1"/>
  <c r="D88" i="67"/>
  <c r="L88" i="67" s="1"/>
  <c r="B88" i="67"/>
  <c r="Z87" i="67"/>
  <c r="X87" i="67"/>
  <c r="N87" i="67"/>
  <c r="L87" i="67"/>
  <c r="B87" i="67"/>
  <c r="Z86" i="67"/>
  <c r="X86" i="67"/>
  <c r="V86" i="67"/>
  <c r="N86" i="67"/>
  <c r="L86" i="67"/>
  <c r="B86" i="67"/>
  <c r="Z85" i="67"/>
  <c r="X85" i="67"/>
  <c r="V85" i="67"/>
  <c r="T85" i="67"/>
  <c r="P85" i="67"/>
  <c r="H85" i="67"/>
  <c r="N85" i="67" s="1"/>
  <c r="D85" i="67"/>
  <c r="B85" i="67"/>
  <c r="X84" i="67"/>
  <c r="Z84" i="67" s="1"/>
  <c r="N84" i="67"/>
  <c r="L84" i="67"/>
  <c r="B84" i="67"/>
  <c r="T83" i="67"/>
  <c r="P83" i="67"/>
  <c r="H83" i="67"/>
  <c r="D83" i="67"/>
  <c r="L83" i="67" s="1"/>
  <c r="N83" i="67" s="1"/>
  <c r="B83" i="67"/>
  <c r="X82" i="67"/>
  <c r="Z82" i="67" s="1"/>
  <c r="N82" i="67"/>
  <c r="L82" i="67"/>
  <c r="J82" i="67"/>
  <c r="B82" i="67"/>
  <c r="T81" i="67"/>
  <c r="P81" i="67"/>
  <c r="X81" i="67" s="1"/>
  <c r="Z81" i="67" s="1"/>
  <c r="H81" i="67"/>
  <c r="D81" i="67"/>
  <c r="L81" i="67" s="1"/>
  <c r="N81" i="67" s="1"/>
  <c r="B81" i="67"/>
  <c r="Z80" i="67"/>
  <c r="X80" i="67"/>
  <c r="N80" i="67"/>
  <c r="L80" i="67"/>
  <c r="B80" i="67"/>
  <c r="Z79" i="67"/>
  <c r="T79" i="67"/>
  <c r="P79" i="67"/>
  <c r="X79" i="67" s="1"/>
  <c r="N79" i="67"/>
  <c r="L79" i="67"/>
  <c r="J79" i="67"/>
  <c r="H79" i="67"/>
  <c r="D79" i="67"/>
  <c r="B79" i="67"/>
  <c r="Z78" i="67"/>
  <c r="X78" i="67"/>
  <c r="V78" i="67"/>
  <c r="N78" i="67"/>
  <c r="L78" i="67"/>
  <c r="B78" i="67"/>
  <c r="X77" i="67"/>
  <c r="Z77" i="67" s="1"/>
  <c r="V77" i="67"/>
  <c r="N77" i="67"/>
  <c r="L77" i="67"/>
  <c r="B77" i="67"/>
  <c r="Z76" i="67"/>
  <c r="X76" i="67"/>
  <c r="T76" i="67"/>
  <c r="P76" i="67"/>
  <c r="J76" i="67"/>
  <c r="H76" i="67"/>
  <c r="N76" i="67" s="1"/>
  <c r="D76" i="67"/>
  <c r="L76" i="67" s="1"/>
  <c r="B76" i="67"/>
  <c r="Z75" i="67"/>
  <c r="X75" i="67"/>
  <c r="N75" i="67"/>
  <c r="L75" i="67"/>
  <c r="B75" i="67"/>
  <c r="V74" i="67"/>
  <c r="T74" i="67"/>
  <c r="Z74" i="67" s="1"/>
  <c r="P74" i="67"/>
  <c r="X74" i="67" s="1"/>
  <c r="H74" i="67"/>
  <c r="N74" i="67" s="1"/>
  <c r="D74" i="67"/>
  <c r="L74" i="67" s="1"/>
  <c r="B74" i="67"/>
  <c r="Z73" i="67"/>
  <c r="X73" i="67"/>
  <c r="L73" i="67"/>
  <c r="N73" i="67" s="1"/>
  <c r="J73" i="67"/>
  <c r="B73" i="67"/>
  <c r="T72" i="67"/>
  <c r="Z72" i="67" s="1"/>
  <c r="P72" i="67"/>
  <c r="X72" i="67" s="1"/>
  <c r="L72" i="67"/>
  <c r="H72" i="67"/>
  <c r="N72" i="67" s="1"/>
  <c r="D72" i="67"/>
  <c r="B72" i="67"/>
  <c r="Z71" i="67"/>
  <c r="X71" i="67"/>
  <c r="N71" i="67"/>
  <c r="L71" i="67"/>
  <c r="B71" i="67"/>
  <c r="X70" i="67"/>
  <c r="T70" i="67"/>
  <c r="Z70" i="67" s="1"/>
  <c r="P70" i="67"/>
  <c r="N70" i="67"/>
  <c r="L70" i="67"/>
  <c r="H70" i="67"/>
  <c r="D70" i="67"/>
  <c r="B70" i="67"/>
  <c r="Z69" i="67"/>
  <c r="X69" i="67"/>
  <c r="V69" i="67"/>
  <c r="N69" i="67"/>
  <c r="L69" i="67"/>
  <c r="B69" i="67"/>
  <c r="Z68" i="67"/>
  <c r="X68" i="67"/>
  <c r="T68" i="67"/>
  <c r="P68" i="67"/>
  <c r="H68" i="67"/>
  <c r="J68" i="67" s="1"/>
  <c r="D68" i="67"/>
  <c r="L68" i="67" s="1"/>
  <c r="B68" i="67"/>
  <c r="Z67" i="67"/>
  <c r="X67" i="67"/>
  <c r="N67" i="67"/>
  <c r="L67" i="67"/>
  <c r="B67" i="67"/>
  <c r="T66" i="67"/>
  <c r="V66" i="67" s="1"/>
  <c r="P66" i="67"/>
  <c r="X66" i="67" s="1"/>
  <c r="H66" i="67"/>
  <c r="N66" i="67" s="1"/>
  <c r="D66" i="67"/>
  <c r="L66" i="67" s="1"/>
  <c r="B66" i="67"/>
  <c r="Z65" i="67"/>
  <c r="X65" i="67"/>
  <c r="L65" i="67"/>
  <c r="N65" i="67" s="1"/>
  <c r="J65" i="67"/>
  <c r="B65" i="67"/>
  <c r="T64" i="67"/>
  <c r="P64" i="67"/>
  <c r="X64" i="67" s="1"/>
  <c r="L64" i="67"/>
  <c r="H64" i="67"/>
  <c r="N64" i="67" s="1"/>
  <c r="D64" i="67"/>
  <c r="B64" i="67"/>
  <c r="Z63" i="67"/>
  <c r="X63" i="67"/>
  <c r="N63" i="67"/>
  <c r="L63" i="67"/>
  <c r="B63" i="67"/>
  <c r="Z62" i="67"/>
  <c r="X62" i="67"/>
  <c r="N62" i="67"/>
  <c r="L62" i="67"/>
  <c r="J62" i="67"/>
  <c r="B62" i="67"/>
  <c r="Z61" i="67"/>
  <c r="X61" i="67"/>
  <c r="N61" i="67"/>
  <c r="L61" i="67"/>
  <c r="J61" i="67"/>
  <c r="B61" i="67"/>
  <c r="X60" i="67"/>
  <c r="Z60" i="67" s="1"/>
  <c r="L60" i="67"/>
  <c r="N60" i="67" s="1"/>
  <c r="B60" i="67"/>
  <c r="Z59" i="67"/>
  <c r="X59" i="67"/>
  <c r="N59" i="67"/>
  <c r="L59" i="67"/>
  <c r="B59" i="67"/>
  <c r="Z58" i="67"/>
  <c r="X58" i="67"/>
  <c r="V58" i="67"/>
  <c r="N58" i="67"/>
  <c r="L58" i="67"/>
  <c r="B58" i="67"/>
  <c r="X57" i="67"/>
  <c r="Z57" i="67" s="1"/>
  <c r="V57" i="67"/>
  <c r="N57" i="67"/>
  <c r="L57" i="67"/>
  <c r="B57" i="67"/>
  <c r="Z56" i="67"/>
  <c r="X56" i="67"/>
  <c r="N56" i="67"/>
  <c r="L56" i="67"/>
  <c r="B56" i="67"/>
  <c r="Z55" i="67"/>
  <c r="X55" i="67"/>
  <c r="N55" i="67"/>
  <c r="L55" i="67"/>
  <c r="B55" i="67"/>
  <c r="Z54" i="67"/>
  <c r="X54" i="67"/>
  <c r="N54" i="67"/>
  <c r="L54" i="67"/>
  <c r="J54" i="67"/>
  <c r="B54" i="67"/>
  <c r="T53" i="67"/>
  <c r="P53" i="67"/>
  <c r="X53" i="67" s="1"/>
  <c r="Z53" i="67" s="1"/>
  <c r="H53" i="67"/>
  <c r="D53" i="67"/>
  <c r="L53" i="67" s="1"/>
  <c r="N53" i="67" s="1"/>
  <c r="B53" i="67"/>
  <c r="X52" i="67"/>
  <c r="Z52" i="67" s="1"/>
  <c r="L52" i="67"/>
  <c r="N52" i="67" s="1"/>
  <c r="B52" i="67"/>
  <c r="Z51" i="67"/>
  <c r="X51" i="67"/>
  <c r="L51" i="67"/>
  <c r="N51" i="67" s="1"/>
  <c r="B51" i="67"/>
  <c r="X50" i="67"/>
  <c r="Z50" i="67" s="1"/>
  <c r="L50" i="67"/>
  <c r="N50" i="67" s="1"/>
  <c r="J50" i="67"/>
  <c r="B50" i="67"/>
  <c r="Z49" i="67"/>
  <c r="X49" i="67"/>
  <c r="N49" i="67"/>
  <c r="L49" i="67"/>
  <c r="J49" i="67"/>
  <c r="B49" i="67"/>
  <c r="X48" i="67"/>
  <c r="Z48" i="67" s="1"/>
  <c r="N48" i="67"/>
  <c r="L48" i="67"/>
  <c r="B48" i="67"/>
  <c r="X47" i="67"/>
  <c r="Z47" i="67" s="1"/>
  <c r="N47" i="67"/>
  <c r="L47" i="67"/>
  <c r="B47" i="67"/>
  <c r="X46" i="67"/>
  <c r="Z46" i="67" s="1"/>
  <c r="V46" i="67"/>
  <c r="L46" i="67"/>
  <c r="N46" i="67" s="1"/>
  <c r="B46" i="67"/>
  <c r="X45" i="67"/>
  <c r="Z45" i="67" s="1"/>
  <c r="V45" i="67"/>
  <c r="N45" i="67"/>
  <c r="L45" i="67"/>
  <c r="B45" i="67"/>
  <c r="Z44" i="67"/>
  <c r="X44" i="67"/>
  <c r="L44" i="67"/>
  <c r="N44" i="67" s="1"/>
  <c r="B44" i="67"/>
  <c r="T43" i="67"/>
  <c r="P43" i="67"/>
  <c r="X43" i="67" s="1"/>
  <c r="Z43" i="67" s="1"/>
  <c r="L43" i="67"/>
  <c r="N43" i="67" s="1"/>
  <c r="J43" i="67"/>
  <c r="H43" i="67"/>
  <c r="D43" i="67"/>
  <c r="B43" i="67"/>
  <c r="T42" i="67" a="1"/>
  <c r="T42" i="67" s="1"/>
  <c r="P42" i="67" a="1"/>
  <c r="P42" i="67" s="1"/>
  <c r="H42" i="67" a="1"/>
  <c r="H42" i="67" s="1"/>
  <c r="D42" i="67" a="1"/>
  <c r="D42" i="67" s="1"/>
  <c r="T40" i="67"/>
  <c r="Z38" i="67"/>
  <c r="X38" i="67"/>
  <c r="N38" i="67"/>
  <c r="L38" i="67"/>
  <c r="J38" i="67"/>
  <c r="B38" i="67"/>
  <c r="Z37" i="67"/>
  <c r="X37" i="67"/>
  <c r="N37" i="67"/>
  <c r="L37" i="67"/>
  <c r="J37" i="67"/>
  <c r="B37" i="67"/>
  <c r="Z36" i="67"/>
  <c r="X36" i="67"/>
  <c r="N36" i="67"/>
  <c r="L36" i="67"/>
  <c r="B36" i="67"/>
  <c r="Z35" i="67"/>
  <c r="X35" i="67"/>
  <c r="N35" i="67"/>
  <c r="L35" i="67"/>
  <c r="B35" i="67"/>
  <c r="Z34" i="67"/>
  <c r="X34" i="67"/>
  <c r="V34" i="67"/>
  <c r="N34" i="67"/>
  <c r="L34" i="67"/>
  <c r="J34" i="67"/>
  <c r="B34" i="67"/>
  <c r="Z33" i="67"/>
  <c r="X33" i="67"/>
  <c r="V33" i="67"/>
  <c r="N33" i="67"/>
  <c r="L33" i="67"/>
  <c r="B33" i="67"/>
  <c r="Z32" i="67"/>
  <c r="X32" i="67"/>
  <c r="N32" i="67"/>
  <c r="L32" i="67"/>
  <c r="B32" i="67"/>
  <c r="Z31" i="67"/>
  <c r="X31" i="67"/>
  <c r="N31" i="67"/>
  <c r="L31" i="67"/>
  <c r="B31" i="67"/>
  <c r="Z30" i="67"/>
  <c r="X30" i="67"/>
  <c r="V30" i="67"/>
  <c r="N30" i="67"/>
  <c r="L30" i="67"/>
  <c r="J30" i="67"/>
  <c r="B30" i="67"/>
  <c r="Z29" i="67"/>
  <c r="X29" i="67"/>
  <c r="N29" i="67"/>
  <c r="L29" i="67"/>
  <c r="J29" i="67"/>
  <c r="B29" i="67"/>
  <c r="Z28" i="67"/>
  <c r="X28" i="67"/>
  <c r="N28" i="67"/>
  <c r="L28" i="67"/>
  <c r="B28" i="67"/>
  <c r="Z27" i="67"/>
  <c r="X27" i="67"/>
  <c r="N27" i="67"/>
  <c r="L27" i="67"/>
  <c r="B27" i="67"/>
  <c r="Z26" i="67"/>
  <c r="X26" i="67"/>
  <c r="V26" i="67"/>
  <c r="N26" i="67"/>
  <c r="L26" i="67"/>
  <c r="J26" i="67"/>
  <c r="B26" i="67"/>
  <c r="Z25" i="67"/>
  <c r="X25" i="67"/>
  <c r="V25" i="67"/>
  <c r="N25" i="67"/>
  <c r="L25" i="67"/>
  <c r="B25" i="67"/>
  <c r="Z24" i="67"/>
  <c r="X24" i="67"/>
  <c r="N24" i="67"/>
  <c r="L24" i="67"/>
  <c r="B24" i="67"/>
  <c r="Z23" i="67"/>
  <c r="X23" i="67"/>
  <c r="N23" i="67"/>
  <c r="L23" i="67"/>
  <c r="B23" i="67"/>
  <c r="Z22" i="67"/>
  <c r="X22" i="67"/>
  <c r="V22" i="67"/>
  <c r="N22" i="67"/>
  <c r="L22" i="67"/>
  <c r="J22" i="67"/>
  <c r="B22" i="67"/>
  <c r="Z21" i="67"/>
  <c r="X21" i="67"/>
  <c r="N21" i="67"/>
  <c r="L21" i="67"/>
  <c r="J21" i="67"/>
  <c r="B21" i="67"/>
  <c r="Z20" i="67"/>
  <c r="X20" i="67"/>
  <c r="L20" i="67"/>
  <c r="N20" i="67" s="1"/>
  <c r="B20" i="67"/>
  <c r="T19" i="67"/>
  <c r="P19" i="67"/>
  <c r="H19" i="67"/>
  <c r="D19" i="67"/>
  <c r="L19" i="67" s="1"/>
  <c r="N19" i="67" s="1"/>
  <c r="Z17" i="67"/>
  <c r="P17" i="67"/>
  <c r="X17" i="67" s="1"/>
  <c r="N17" i="67"/>
  <c r="D17" i="67"/>
  <c r="L17" i="67" s="1"/>
  <c r="B17" i="67"/>
  <c r="Z16" i="67"/>
  <c r="X16" i="67"/>
  <c r="P16" i="67"/>
  <c r="N16" i="67"/>
  <c r="L16" i="67"/>
  <c r="D16" i="67"/>
  <c r="B16" i="67"/>
  <c r="Z15" i="67"/>
  <c r="P15" i="67"/>
  <c r="X15" i="67" s="1"/>
  <c r="N15" i="67"/>
  <c r="D15" i="67"/>
  <c r="L15" i="67" s="1"/>
  <c r="B15" i="67"/>
  <c r="Z14" i="67"/>
  <c r="P14" i="67"/>
  <c r="X14" i="67" s="1"/>
  <c r="N14" i="67"/>
  <c r="D14" i="67"/>
  <c r="L14" i="67" s="1"/>
  <c r="B14" i="67"/>
  <c r="X13" i="67"/>
  <c r="Z13" i="67" s="1"/>
  <c r="P13" i="67"/>
  <c r="L13" i="67"/>
  <c r="N13" i="67" s="1"/>
  <c r="D13" i="67"/>
  <c r="B13" i="67"/>
  <c r="T12" i="67"/>
  <c r="H12" i="67"/>
  <c r="J91" i="67" s="1"/>
  <c r="D6" i="67"/>
  <c r="D4" i="67"/>
  <c r="X95" i="65"/>
  <c r="Z95" i="65" s="1"/>
  <c r="N95" i="65"/>
  <c r="L95" i="65"/>
  <c r="Z91" i="65"/>
  <c r="X91" i="65"/>
  <c r="P91" i="65"/>
  <c r="N91" i="65"/>
  <c r="D91" i="65"/>
  <c r="L91" i="65" s="1"/>
  <c r="B91" i="65"/>
  <c r="Z90" i="65"/>
  <c r="P90" i="65"/>
  <c r="P87" i="65" s="1"/>
  <c r="X87" i="65" s="1"/>
  <c r="N90" i="65"/>
  <c r="L90" i="65"/>
  <c r="D90" i="65"/>
  <c r="B90" i="65"/>
  <c r="X89" i="65"/>
  <c r="Z89" i="65" s="1"/>
  <c r="V89" i="65"/>
  <c r="P89" i="65"/>
  <c r="N89" i="65"/>
  <c r="D89" i="65"/>
  <c r="L89" i="65" s="1"/>
  <c r="B89" i="65"/>
  <c r="P88" i="65"/>
  <c r="X88" i="65" s="1"/>
  <c r="Z88" i="65" s="1"/>
  <c r="L88" i="65"/>
  <c r="N88" i="65" s="1"/>
  <c r="D88" i="65"/>
  <c r="B88" i="65"/>
  <c r="T87" i="65"/>
  <c r="H87" i="65"/>
  <c r="N87" i="65" s="1"/>
  <c r="D87" i="65"/>
  <c r="L87" i="65" s="1"/>
  <c r="Z85" i="65"/>
  <c r="X85" i="65"/>
  <c r="N85" i="65"/>
  <c r="L85" i="65"/>
  <c r="B85" i="65"/>
  <c r="Z84" i="65"/>
  <c r="T84" i="65"/>
  <c r="X84" i="65" s="1"/>
  <c r="P84" i="65"/>
  <c r="N84" i="65"/>
  <c r="L84" i="65"/>
  <c r="H84" i="65"/>
  <c r="D84" i="65"/>
  <c r="B84" i="65"/>
  <c r="X83" i="65"/>
  <c r="Z83" i="65" s="1"/>
  <c r="V83" i="65"/>
  <c r="L83" i="65"/>
  <c r="N83" i="65" s="1"/>
  <c r="B83" i="65"/>
  <c r="Z82" i="65"/>
  <c r="X82" i="65"/>
  <c r="N82" i="65"/>
  <c r="L82" i="65"/>
  <c r="B82" i="65"/>
  <c r="T81" i="65"/>
  <c r="P81" i="65"/>
  <c r="X81" i="65" s="1"/>
  <c r="Z81" i="65" s="1"/>
  <c r="L81" i="65"/>
  <c r="N81" i="65" s="1"/>
  <c r="H81" i="65"/>
  <c r="D81" i="65"/>
  <c r="B81" i="65"/>
  <c r="Z80" i="65"/>
  <c r="X80" i="65"/>
  <c r="V80" i="65"/>
  <c r="L80" i="65"/>
  <c r="N80" i="65" s="1"/>
  <c r="B80" i="65"/>
  <c r="X79" i="65"/>
  <c r="Z79" i="65" s="1"/>
  <c r="V79" i="65"/>
  <c r="L79" i="65"/>
  <c r="N79" i="65" s="1"/>
  <c r="B79" i="65"/>
  <c r="X78" i="65"/>
  <c r="Z78" i="65" s="1"/>
  <c r="T78" i="65"/>
  <c r="P78" i="65"/>
  <c r="H78" i="65"/>
  <c r="D78" i="65"/>
  <c r="B78" i="65"/>
  <c r="X77" i="65"/>
  <c r="Z77" i="65" s="1"/>
  <c r="N77" i="65"/>
  <c r="L77" i="65"/>
  <c r="B77" i="65"/>
  <c r="Z76" i="65"/>
  <c r="X76" i="65"/>
  <c r="V76" i="65"/>
  <c r="L76" i="65"/>
  <c r="N76" i="65" s="1"/>
  <c r="B76" i="65"/>
  <c r="X75" i="65"/>
  <c r="Z75" i="65" s="1"/>
  <c r="V75" i="65"/>
  <c r="T75" i="65"/>
  <c r="P75" i="65"/>
  <c r="H75" i="65"/>
  <c r="D75" i="65"/>
  <c r="B75" i="65"/>
  <c r="Z74" i="65"/>
  <c r="X74" i="65"/>
  <c r="L74" i="65"/>
  <c r="N74" i="65" s="1"/>
  <c r="B74" i="65"/>
  <c r="X73" i="65"/>
  <c r="Z73" i="65" s="1"/>
  <c r="N73" i="65"/>
  <c r="L73" i="65"/>
  <c r="B73" i="65"/>
  <c r="Z72" i="65"/>
  <c r="X72" i="65"/>
  <c r="V72" i="65"/>
  <c r="N72" i="65"/>
  <c r="L72" i="65"/>
  <c r="B72" i="65"/>
  <c r="X71" i="65"/>
  <c r="V71" i="65"/>
  <c r="T71" i="65"/>
  <c r="Z71" i="65" s="1"/>
  <c r="P71" i="65"/>
  <c r="H71" i="65"/>
  <c r="D71" i="65"/>
  <c r="B71" i="65"/>
  <c r="Z70" i="65"/>
  <c r="X70" i="65"/>
  <c r="L70" i="65"/>
  <c r="N70" i="65" s="1"/>
  <c r="B70" i="65"/>
  <c r="T69" i="65"/>
  <c r="P69" i="65"/>
  <c r="H69" i="65"/>
  <c r="D69" i="65"/>
  <c r="L69" i="65" s="1"/>
  <c r="B69" i="65"/>
  <c r="X68" i="65"/>
  <c r="Z68" i="65" s="1"/>
  <c r="N68" i="65"/>
  <c r="L68" i="65"/>
  <c r="B68" i="65"/>
  <c r="T67" i="65"/>
  <c r="P67" i="65"/>
  <c r="X67" i="65" s="1"/>
  <c r="N67" i="65"/>
  <c r="H67" i="65"/>
  <c r="D67" i="65"/>
  <c r="L67" i="65" s="1"/>
  <c r="B67" i="65"/>
  <c r="Z66" i="65"/>
  <c r="X66" i="65"/>
  <c r="N66" i="65"/>
  <c r="L66" i="65"/>
  <c r="B66" i="65"/>
  <c r="Z65" i="65"/>
  <c r="X65" i="65"/>
  <c r="L65" i="65"/>
  <c r="N65" i="65" s="1"/>
  <c r="B65" i="65"/>
  <c r="T64" i="65"/>
  <c r="P64" i="65"/>
  <c r="L64" i="65"/>
  <c r="N64" i="65" s="1"/>
  <c r="H64" i="65"/>
  <c r="D64" i="65"/>
  <c r="B64" i="65"/>
  <c r="X63" i="65"/>
  <c r="Z63" i="65" s="1"/>
  <c r="V63" i="65"/>
  <c r="L63" i="65"/>
  <c r="N63" i="65" s="1"/>
  <c r="B63" i="65"/>
  <c r="X62" i="65"/>
  <c r="Z62" i="65" s="1"/>
  <c r="T62" i="65"/>
  <c r="P62" i="65"/>
  <c r="H62" i="65"/>
  <c r="D62" i="65"/>
  <c r="L62" i="65" s="1"/>
  <c r="B62" i="65"/>
  <c r="X61" i="65"/>
  <c r="Z61" i="65" s="1"/>
  <c r="N61" i="65"/>
  <c r="L61" i="65"/>
  <c r="B61" i="65"/>
  <c r="T60" i="65"/>
  <c r="P60" i="65"/>
  <c r="X60" i="65" s="1"/>
  <c r="H60" i="65"/>
  <c r="D60" i="65"/>
  <c r="L60" i="65" s="1"/>
  <c r="N60" i="65" s="1"/>
  <c r="B60" i="65"/>
  <c r="Z59" i="65"/>
  <c r="X59" i="65"/>
  <c r="N59" i="65"/>
  <c r="L59" i="65"/>
  <c r="J59" i="65"/>
  <c r="B59" i="65"/>
  <c r="Z58" i="65"/>
  <c r="T58" i="65"/>
  <c r="P58" i="65"/>
  <c r="X58" i="65" s="1"/>
  <c r="L58" i="65"/>
  <c r="H58" i="65"/>
  <c r="N58" i="65" s="1"/>
  <c r="D58" i="65"/>
  <c r="B58" i="65"/>
  <c r="Z57" i="65"/>
  <c r="X57" i="65"/>
  <c r="N57" i="65"/>
  <c r="L57" i="65"/>
  <c r="B57" i="65"/>
  <c r="X56" i="65"/>
  <c r="T56" i="65"/>
  <c r="Z56" i="65" s="1"/>
  <c r="P56" i="65"/>
  <c r="N56" i="65"/>
  <c r="L56" i="65"/>
  <c r="H56" i="65"/>
  <c r="D56" i="65"/>
  <c r="B56" i="65"/>
  <c r="Z55" i="65"/>
  <c r="X55" i="65"/>
  <c r="V55" i="65"/>
  <c r="N55" i="65"/>
  <c r="L55" i="65"/>
  <c r="B55" i="65"/>
  <c r="Z54" i="65"/>
  <c r="X54" i="65"/>
  <c r="N54" i="65"/>
  <c r="L54" i="65"/>
  <c r="B54" i="65"/>
  <c r="Z53" i="65"/>
  <c r="X53" i="65"/>
  <c r="N53" i="65"/>
  <c r="L53" i="65"/>
  <c r="B53" i="65"/>
  <c r="X52" i="65"/>
  <c r="Z52" i="65" s="1"/>
  <c r="N52" i="65"/>
  <c r="L52" i="65"/>
  <c r="B52" i="65"/>
  <c r="Z51" i="65"/>
  <c r="X51" i="65"/>
  <c r="N51" i="65"/>
  <c r="L51" i="65"/>
  <c r="J51" i="65"/>
  <c r="B51" i="65"/>
  <c r="Z50" i="65"/>
  <c r="X50" i="65"/>
  <c r="N50" i="65"/>
  <c r="L50" i="65"/>
  <c r="B50" i="65"/>
  <c r="Z49" i="65"/>
  <c r="X49" i="65"/>
  <c r="N49" i="65"/>
  <c r="L49" i="65"/>
  <c r="B49" i="65"/>
  <c r="Z48" i="65"/>
  <c r="X48" i="65"/>
  <c r="V48" i="65"/>
  <c r="N48" i="65"/>
  <c r="L48" i="65"/>
  <c r="B48" i="65"/>
  <c r="X47" i="65"/>
  <c r="Z47" i="65" s="1"/>
  <c r="V47" i="65"/>
  <c r="L47" i="65"/>
  <c r="N47" i="65" s="1"/>
  <c r="B47" i="65"/>
  <c r="Z46" i="65"/>
  <c r="X46" i="65"/>
  <c r="N46" i="65"/>
  <c r="L46" i="65"/>
  <c r="B46" i="65"/>
  <c r="T45" i="65"/>
  <c r="P45" i="65"/>
  <c r="X45" i="65" s="1"/>
  <c r="Z45" i="65" s="1"/>
  <c r="L45" i="65"/>
  <c r="N45" i="65" s="1"/>
  <c r="H45" i="65"/>
  <c r="D45" i="65"/>
  <c r="B45" i="65"/>
  <c r="X44" i="65"/>
  <c r="Z44" i="65" s="1"/>
  <c r="V44" i="65"/>
  <c r="L44" i="65"/>
  <c r="N44" i="65" s="1"/>
  <c r="B44" i="65"/>
  <c r="X43" i="65"/>
  <c r="Z43" i="65" s="1"/>
  <c r="V43" i="65"/>
  <c r="L43" i="65"/>
  <c r="N43" i="65" s="1"/>
  <c r="B43" i="65"/>
  <c r="X42" i="65"/>
  <c r="Z42" i="65" s="1"/>
  <c r="N42" i="65"/>
  <c r="L42" i="65"/>
  <c r="B42" i="65"/>
  <c r="Z41" i="65"/>
  <c r="X41" i="65"/>
  <c r="N41" i="65"/>
  <c r="L41" i="65"/>
  <c r="B41" i="65"/>
  <c r="Z40" i="65"/>
  <c r="X40" i="65"/>
  <c r="N40" i="65"/>
  <c r="L40" i="65"/>
  <c r="J40" i="65"/>
  <c r="B40" i="65"/>
  <c r="X39" i="65"/>
  <c r="Z39" i="65" s="1"/>
  <c r="L39" i="65"/>
  <c r="N39" i="65" s="1"/>
  <c r="B39" i="65"/>
  <c r="Z38" i="65"/>
  <c r="X38" i="65"/>
  <c r="L38" i="65"/>
  <c r="N38" i="65" s="1"/>
  <c r="B38" i="65"/>
  <c r="X37" i="65"/>
  <c r="Z37" i="65" s="1"/>
  <c r="N37" i="65"/>
  <c r="L37" i="65"/>
  <c r="B37" i="65"/>
  <c r="Z36" i="65"/>
  <c r="X36" i="65"/>
  <c r="V36" i="65"/>
  <c r="L36" i="65"/>
  <c r="N36" i="65" s="1"/>
  <c r="B36" i="65"/>
  <c r="X35" i="65"/>
  <c r="Z35" i="65" s="1"/>
  <c r="V35" i="65"/>
  <c r="L35" i="65"/>
  <c r="N35" i="65" s="1"/>
  <c r="B35" i="65"/>
  <c r="Z34" i="65"/>
  <c r="X34" i="65"/>
  <c r="T34" i="65"/>
  <c r="P34" i="65"/>
  <c r="J34" i="65"/>
  <c r="H34" i="65"/>
  <c r="D34" i="65"/>
  <c r="B34" i="65"/>
  <c r="T33" i="65" a="1"/>
  <c r="T33" i="65" s="1"/>
  <c r="P33" i="65" a="1"/>
  <c r="P33" i="65" s="1"/>
  <c r="H33" i="65" a="1"/>
  <c r="H33" i="65" s="1"/>
  <c r="D33" i="65" a="1"/>
  <c r="D33" i="65" s="1"/>
  <c r="T31" i="65"/>
  <c r="Z29" i="65"/>
  <c r="X29" i="65"/>
  <c r="N29" i="65"/>
  <c r="L29" i="65"/>
  <c r="B29" i="65"/>
  <c r="Z28" i="65"/>
  <c r="X28" i="65"/>
  <c r="N28" i="65"/>
  <c r="L28" i="65"/>
  <c r="J28" i="65"/>
  <c r="B28" i="65"/>
  <c r="Z27" i="65"/>
  <c r="X27" i="65"/>
  <c r="N27" i="65"/>
  <c r="L27" i="65"/>
  <c r="B27" i="65"/>
  <c r="Z26" i="65"/>
  <c r="X26" i="65"/>
  <c r="N26" i="65"/>
  <c r="L26" i="65"/>
  <c r="B26" i="65"/>
  <c r="Z25" i="65"/>
  <c r="X25" i="65"/>
  <c r="N25" i="65"/>
  <c r="L25" i="65"/>
  <c r="B25" i="65"/>
  <c r="Z24" i="65"/>
  <c r="X24" i="65"/>
  <c r="V24" i="65"/>
  <c r="N24" i="65"/>
  <c r="L24" i="65"/>
  <c r="B24" i="65"/>
  <c r="Z23" i="65"/>
  <c r="X23" i="65"/>
  <c r="V23" i="65"/>
  <c r="N23" i="65"/>
  <c r="L23" i="65"/>
  <c r="B23" i="65"/>
  <c r="Z22" i="65"/>
  <c r="X22" i="65"/>
  <c r="N22" i="65"/>
  <c r="L22" i="65"/>
  <c r="B22" i="65"/>
  <c r="Z21" i="65"/>
  <c r="X21" i="65"/>
  <c r="V21" i="65"/>
  <c r="N21" i="65"/>
  <c r="L21" i="65"/>
  <c r="B21" i="65"/>
  <c r="X20" i="65"/>
  <c r="Z20" i="65" s="1"/>
  <c r="N20" i="65"/>
  <c r="L20" i="65"/>
  <c r="J20" i="65"/>
  <c r="B20" i="65"/>
  <c r="T19" i="65"/>
  <c r="P19" i="65"/>
  <c r="X19" i="65" s="1"/>
  <c r="Z19" i="65" s="1"/>
  <c r="N19" i="65"/>
  <c r="H19" i="65"/>
  <c r="D19" i="65"/>
  <c r="L19" i="65" s="1"/>
  <c r="Z17" i="65"/>
  <c r="X17" i="65"/>
  <c r="P17" i="65"/>
  <c r="N17" i="65"/>
  <c r="L17" i="65"/>
  <c r="D17" i="65"/>
  <c r="B17" i="65"/>
  <c r="Z16" i="65"/>
  <c r="P16" i="65"/>
  <c r="N16" i="65"/>
  <c r="D16" i="65"/>
  <c r="L16" i="65" s="1"/>
  <c r="B16" i="65"/>
  <c r="Z15" i="65"/>
  <c r="X15" i="65"/>
  <c r="P15" i="65"/>
  <c r="N15" i="65"/>
  <c r="L15" i="65"/>
  <c r="D15" i="65"/>
  <c r="B15" i="65"/>
  <c r="Z14" i="65"/>
  <c r="P14" i="65"/>
  <c r="X14" i="65" s="1"/>
  <c r="N14" i="65"/>
  <c r="D14" i="65"/>
  <c r="L14" i="65" s="1"/>
  <c r="B14" i="65"/>
  <c r="Z13" i="65"/>
  <c r="X13" i="65"/>
  <c r="P13" i="65"/>
  <c r="D13" i="65"/>
  <c r="L13" i="65" s="1"/>
  <c r="N13" i="65" s="1"/>
  <c r="B13" i="65"/>
  <c r="T12" i="65"/>
  <c r="H12" i="65"/>
  <c r="D6" i="65"/>
  <c r="D4" i="65"/>
  <c r="Z61" i="64"/>
  <c r="X61" i="64"/>
  <c r="N61" i="64"/>
  <c r="L61" i="64"/>
  <c r="Z57" i="64"/>
  <c r="X57" i="64"/>
  <c r="T57" i="64"/>
  <c r="P57" i="64"/>
  <c r="H57" i="64"/>
  <c r="N57" i="64" s="1"/>
  <c r="D57" i="64"/>
  <c r="L57" i="64" s="1"/>
  <c r="Z55" i="64"/>
  <c r="X55" i="64"/>
  <c r="N55" i="64"/>
  <c r="L55" i="64"/>
  <c r="B55" i="64"/>
  <c r="T54" i="64"/>
  <c r="Z54" i="64" s="1"/>
  <c r="P54" i="64"/>
  <c r="X54" i="64" s="1"/>
  <c r="N54" i="64"/>
  <c r="H54" i="64"/>
  <c r="D54" i="64"/>
  <c r="L54" i="64" s="1"/>
  <c r="B54" i="64"/>
  <c r="Z53" i="64"/>
  <c r="X53" i="64"/>
  <c r="N53" i="64"/>
  <c r="L53" i="64"/>
  <c r="B53" i="64"/>
  <c r="Z52" i="64"/>
  <c r="T52" i="64"/>
  <c r="P52" i="64"/>
  <c r="X52" i="64" s="1"/>
  <c r="N52" i="64"/>
  <c r="H52" i="64"/>
  <c r="L52" i="64" s="1"/>
  <c r="D52" i="64"/>
  <c r="B52" i="64"/>
  <c r="Z51" i="64"/>
  <c r="X51" i="64"/>
  <c r="N51" i="64"/>
  <c r="L51" i="64"/>
  <c r="B51" i="64"/>
  <c r="Z50" i="64"/>
  <c r="X50" i="64"/>
  <c r="N50" i="64"/>
  <c r="L50" i="64"/>
  <c r="B50" i="64"/>
  <c r="X49" i="64"/>
  <c r="T49" i="64"/>
  <c r="Z49" i="64" s="1"/>
  <c r="P49" i="64"/>
  <c r="N49" i="64"/>
  <c r="L49" i="64"/>
  <c r="H49" i="64"/>
  <c r="D49" i="64"/>
  <c r="B49" i="64"/>
  <c r="Z48" i="64"/>
  <c r="X48" i="64"/>
  <c r="V48" i="64"/>
  <c r="N48" i="64"/>
  <c r="L48" i="64"/>
  <c r="B48" i="64"/>
  <c r="Z47" i="64"/>
  <c r="X47" i="64"/>
  <c r="N47" i="64"/>
  <c r="L47" i="64"/>
  <c r="B47" i="64"/>
  <c r="Z46" i="64"/>
  <c r="T46" i="64"/>
  <c r="P46" i="64"/>
  <c r="X46" i="64" s="1"/>
  <c r="N46" i="64"/>
  <c r="L46" i="64"/>
  <c r="H46" i="64"/>
  <c r="D46" i="64"/>
  <c r="B46" i="64"/>
  <c r="Z45" i="64"/>
  <c r="X45" i="64"/>
  <c r="V45" i="64"/>
  <c r="N45" i="64"/>
  <c r="L45" i="64"/>
  <c r="B45" i="64"/>
  <c r="Z44" i="64"/>
  <c r="X44" i="64"/>
  <c r="V44" i="64"/>
  <c r="N44" i="64"/>
  <c r="L44" i="64"/>
  <c r="B44" i="64"/>
  <c r="Z43" i="64"/>
  <c r="X43" i="64"/>
  <c r="T43" i="64"/>
  <c r="P43" i="64"/>
  <c r="H43" i="64"/>
  <c r="N43" i="64" s="1"/>
  <c r="D43" i="64"/>
  <c r="B43" i="64"/>
  <c r="Z42" i="64"/>
  <c r="X42" i="64"/>
  <c r="N42" i="64"/>
  <c r="L42" i="64"/>
  <c r="B42" i="64"/>
  <c r="V41" i="64"/>
  <c r="T41" i="64"/>
  <c r="Z41" i="64" s="1"/>
  <c r="P41" i="64"/>
  <c r="X41" i="64" s="1"/>
  <c r="H41" i="64"/>
  <c r="N41" i="64" s="1"/>
  <c r="D41" i="64"/>
  <c r="L41" i="64" s="1"/>
  <c r="B41" i="64"/>
  <c r="Z40" i="64"/>
  <c r="X40" i="64"/>
  <c r="N40" i="64"/>
  <c r="L40" i="64"/>
  <c r="J40" i="64"/>
  <c r="B40" i="64"/>
  <c r="T39" i="64"/>
  <c r="Z39" i="64" s="1"/>
  <c r="P39" i="64"/>
  <c r="X39" i="64" s="1"/>
  <c r="L39" i="64"/>
  <c r="H39" i="64"/>
  <c r="N39" i="64" s="1"/>
  <c r="D39" i="64"/>
  <c r="B39" i="64"/>
  <c r="Z38" i="64"/>
  <c r="X38" i="64"/>
  <c r="N38" i="64"/>
  <c r="L38" i="64"/>
  <c r="B38" i="64"/>
  <c r="X37" i="64"/>
  <c r="T37" i="64"/>
  <c r="Z37" i="64" s="1"/>
  <c r="P37" i="64"/>
  <c r="L37" i="64"/>
  <c r="N37" i="64" s="1"/>
  <c r="H37" i="64"/>
  <c r="D37" i="64"/>
  <c r="B37" i="64"/>
  <c r="Z36" i="64"/>
  <c r="X36" i="64"/>
  <c r="V36" i="64"/>
  <c r="N36" i="64"/>
  <c r="L36" i="64"/>
  <c r="B36" i="64"/>
  <c r="Z35" i="64"/>
  <c r="X35" i="64"/>
  <c r="T35" i="64"/>
  <c r="P35" i="64"/>
  <c r="H35" i="64"/>
  <c r="N35" i="64" s="1"/>
  <c r="D35" i="64"/>
  <c r="L35" i="64" s="1"/>
  <c r="B35" i="64"/>
  <c r="Z34" i="64"/>
  <c r="X34" i="64"/>
  <c r="N34" i="64"/>
  <c r="L34" i="64"/>
  <c r="B34" i="64"/>
  <c r="V33" i="64"/>
  <c r="T33" i="64"/>
  <c r="Z33" i="64" s="1"/>
  <c r="P33" i="64"/>
  <c r="H33" i="64"/>
  <c r="N33" i="64" s="1"/>
  <c r="D33" i="64"/>
  <c r="L33" i="64" s="1"/>
  <c r="B33" i="64"/>
  <c r="Z32" i="64"/>
  <c r="X32" i="64"/>
  <c r="N32" i="64"/>
  <c r="L32" i="64"/>
  <c r="B32" i="64"/>
  <c r="T31" i="64"/>
  <c r="Z31" i="64" s="1"/>
  <c r="P31" i="64"/>
  <c r="X31" i="64" s="1"/>
  <c r="L31" i="64"/>
  <c r="H31" i="64"/>
  <c r="N31" i="64" s="1"/>
  <c r="D31" i="64"/>
  <c r="B31" i="64"/>
  <c r="Z30" i="64"/>
  <c r="X30" i="64"/>
  <c r="N30" i="64"/>
  <c r="L30" i="64"/>
  <c r="B30" i="64"/>
  <c r="Z29" i="64"/>
  <c r="X29" i="64"/>
  <c r="N29" i="64"/>
  <c r="L29" i="64"/>
  <c r="B29" i="64"/>
  <c r="Z28" i="64"/>
  <c r="T28" i="64"/>
  <c r="P28" i="64"/>
  <c r="X28" i="64" s="1"/>
  <c r="N28" i="64"/>
  <c r="H28" i="64"/>
  <c r="L28" i="64" s="1"/>
  <c r="D28" i="64"/>
  <c r="B28" i="64"/>
  <c r="Z27" i="64"/>
  <c r="X27" i="64"/>
  <c r="N27" i="64"/>
  <c r="L27" i="64"/>
  <c r="B27" i="64"/>
  <c r="Z26" i="64"/>
  <c r="X26" i="64"/>
  <c r="N26" i="64"/>
  <c r="L26" i="64"/>
  <c r="F26" i="64"/>
  <c r="B26" i="64"/>
  <c r="X25" i="64"/>
  <c r="T25" i="64"/>
  <c r="Z25" i="64" s="1"/>
  <c r="P25" i="64"/>
  <c r="N25" i="64"/>
  <c r="L25" i="64"/>
  <c r="H25" i="64"/>
  <c r="D25" i="64"/>
  <c r="B25" i="64"/>
  <c r="V24" i="64"/>
  <c r="T24" i="64" a="1"/>
  <c r="T24" i="64" s="1"/>
  <c r="P24" i="64" a="1"/>
  <c r="P24" i="64" s="1"/>
  <c r="X24" i="64" s="1"/>
  <c r="J24" i="64"/>
  <c r="H24" i="64" a="1"/>
  <c r="H24" i="64"/>
  <c r="D24" i="64" a="1"/>
  <c r="D24" i="64" s="1"/>
  <c r="V22" i="64"/>
  <c r="H22" i="64"/>
  <c r="Z20" i="64"/>
  <c r="X20" i="64"/>
  <c r="V20" i="64"/>
  <c r="N20" i="64"/>
  <c r="L20" i="64"/>
  <c r="J20" i="64"/>
  <c r="B20" i="64"/>
  <c r="Z19" i="64"/>
  <c r="X19" i="64"/>
  <c r="N19" i="64"/>
  <c r="L19" i="64"/>
  <c r="J19" i="64"/>
  <c r="F19" i="64"/>
  <c r="B19" i="64"/>
  <c r="T18" i="64"/>
  <c r="Z18" i="64" s="1"/>
  <c r="P18" i="64"/>
  <c r="N18" i="64"/>
  <c r="J18" i="64"/>
  <c r="H18" i="64"/>
  <c r="D18" i="64"/>
  <c r="L18" i="64" s="1"/>
  <c r="Z16" i="64"/>
  <c r="P16" i="64"/>
  <c r="X16" i="64" s="1"/>
  <c r="N16" i="64"/>
  <c r="L16" i="64"/>
  <c r="D16" i="64"/>
  <c r="B16" i="64"/>
  <c r="Z15" i="64"/>
  <c r="P15" i="64"/>
  <c r="X15" i="64" s="1"/>
  <c r="N15" i="64"/>
  <c r="D15" i="64"/>
  <c r="L15" i="64" s="1"/>
  <c r="B15" i="64"/>
  <c r="Z14" i="64"/>
  <c r="X14" i="64"/>
  <c r="P14" i="64"/>
  <c r="N14" i="64"/>
  <c r="L14" i="64"/>
  <c r="D14" i="64"/>
  <c r="B14" i="64"/>
  <c r="Z13" i="64"/>
  <c r="P13" i="64"/>
  <c r="X13" i="64" s="1"/>
  <c r="N13" i="64"/>
  <c r="D13" i="64"/>
  <c r="D12" i="64" s="1"/>
  <c r="F33" i="64" s="1"/>
  <c r="B13" i="64"/>
  <c r="Z12" i="64"/>
  <c r="T12" i="64"/>
  <c r="V54" i="64" s="1"/>
  <c r="N12" i="64"/>
  <c r="L12" i="64"/>
  <c r="H12" i="64"/>
  <c r="J57" i="64" s="1"/>
  <c r="D6" i="64"/>
  <c r="D4" i="64"/>
  <c r="X89" i="63"/>
  <c r="Z89" i="63" s="1"/>
  <c r="L89" i="63"/>
  <c r="N89" i="63" s="1"/>
  <c r="T85" i="63"/>
  <c r="Z85" i="63" s="1"/>
  <c r="P85" i="63"/>
  <c r="X85" i="63" s="1"/>
  <c r="N85" i="63"/>
  <c r="H85" i="63"/>
  <c r="D85" i="63"/>
  <c r="L85" i="63" s="1"/>
  <c r="X83" i="63"/>
  <c r="Z83" i="63" s="1"/>
  <c r="L83" i="63"/>
  <c r="N83" i="63" s="1"/>
  <c r="B83" i="63"/>
  <c r="X82" i="63"/>
  <c r="Z82" i="63" s="1"/>
  <c r="T82" i="63"/>
  <c r="P82" i="63"/>
  <c r="H82" i="63"/>
  <c r="D82" i="63"/>
  <c r="B82" i="63"/>
  <c r="Z81" i="63"/>
  <c r="X81" i="63"/>
  <c r="N81" i="63"/>
  <c r="L81" i="63"/>
  <c r="B81" i="63"/>
  <c r="X80" i="63"/>
  <c r="Z80" i="63" s="1"/>
  <c r="N80" i="63"/>
  <c r="L80" i="63"/>
  <c r="B80" i="63"/>
  <c r="X79" i="63"/>
  <c r="Z79" i="63" s="1"/>
  <c r="L79" i="63"/>
  <c r="N79" i="63" s="1"/>
  <c r="B79" i="63"/>
  <c r="Z78" i="63"/>
  <c r="X78" i="63"/>
  <c r="N78" i="63"/>
  <c r="L78" i="63"/>
  <c r="B78" i="63"/>
  <c r="T77" i="63"/>
  <c r="P77" i="63"/>
  <c r="X77" i="63" s="1"/>
  <c r="Z77" i="63" s="1"/>
  <c r="H77" i="63"/>
  <c r="D77" i="63"/>
  <c r="L77" i="63" s="1"/>
  <c r="N77" i="63" s="1"/>
  <c r="B77" i="63"/>
  <c r="Z76" i="63"/>
  <c r="X76" i="63"/>
  <c r="N76" i="63"/>
  <c r="L76" i="63"/>
  <c r="B76" i="63"/>
  <c r="Z75" i="63"/>
  <c r="T75" i="63"/>
  <c r="P75" i="63"/>
  <c r="X75" i="63" s="1"/>
  <c r="N75" i="63"/>
  <c r="H75" i="63"/>
  <c r="L75" i="63" s="1"/>
  <c r="D75" i="63"/>
  <c r="B75" i="63"/>
  <c r="Z74" i="63"/>
  <c r="X74" i="63"/>
  <c r="N74" i="63"/>
  <c r="L74" i="63"/>
  <c r="B74" i="63"/>
  <c r="Z73" i="63"/>
  <c r="X73" i="63"/>
  <c r="N73" i="63"/>
  <c r="L73" i="63"/>
  <c r="B73" i="63"/>
  <c r="T72" i="63"/>
  <c r="Z72" i="63" s="1"/>
  <c r="P72" i="63"/>
  <c r="N72" i="63"/>
  <c r="H72" i="63"/>
  <c r="D72" i="63"/>
  <c r="L72" i="63" s="1"/>
  <c r="B72" i="63"/>
  <c r="Z71" i="63"/>
  <c r="X71" i="63"/>
  <c r="N71" i="63"/>
  <c r="L71" i="63"/>
  <c r="B71" i="63"/>
  <c r="Z70" i="63"/>
  <c r="X70" i="63"/>
  <c r="N70" i="63"/>
  <c r="L70" i="63"/>
  <c r="B70" i="63"/>
  <c r="Z69" i="63"/>
  <c r="T69" i="63"/>
  <c r="X69" i="63" s="1"/>
  <c r="P69" i="63"/>
  <c r="L69" i="63"/>
  <c r="H69" i="63"/>
  <c r="N69" i="63" s="1"/>
  <c r="D69" i="63"/>
  <c r="B69" i="63"/>
  <c r="X68" i="63"/>
  <c r="Z68" i="63" s="1"/>
  <c r="L68" i="63"/>
  <c r="N68" i="63" s="1"/>
  <c r="B68" i="63"/>
  <c r="X67" i="63"/>
  <c r="T67" i="63"/>
  <c r="Z67" i="63" s="1"/>
  <c r="P67" i="63"/>
  <c r="H67" i="63"/>
  <c r="D67" i="63"/>
  <c r="L67" i="63" s="1"/>
  <c r="N67" i="63" s="1"/>
  <c r="B67" i="63"/>
  <c r="Z66" i="63"/>
  <c r="X66" i="63"/>
  <c r="N66" i="63"/>
  <c r="L66" i="63"/>
  <c r="B66" i="63"/>
  <c r="Z65" i="63"/>
  <c r="T65" i="63"/>
  <c r="P65" i="63"/>
  <c r="X65" i="63" s="1"/>
  <c r="N65" i="63"/>
  <c r="H65" i="63"/>
  <c r="D65" i="63"/>
  <c r="L65" i="63" s="1"/>
  <c r="B65" i="63"/>
  <c r="Z64" i="63"/>
  <c r="X64" i="63"/>
  <c r="N64" i="63"/>
  <c r="L64" i="63"/>
  <c r="B64" i="63"/>
  <c r="Z63" i="63"/>
  <c r="V63" i="63"/>
  <c r="T63" i="63"/>
  <c r="P63" i="63"/>
  <c r="X63" i="63" s="1"/>
  <c r="N63" i="63"/>
  <c r="H63" i="63"/>
  <c r="L63" i="63" s="1"/>
  <c r="D63" i="63"/>
  <c r="B63" i="63"/>
  <c r="Z62" i="63"/>
  <c r="X62" i="63"/>
  <c r="N62" i="63"/>
  <c r="L62" i="63"/>
  <c r="B62" i="63"/>
  <c r="Z61" i="63"/>
  <c r="X61" i="63"/>
  <c r="N61" i="63"/>
  <c r="L61" i="63"/>
  <c r="B61" i="63"/>
  <c r="T60" i="63"/>
  <c r="Z60" i="63" s="1"/>
  <c r="P60" i="63"/>
  <c r="N60" i="63"/>
  <c r="H60" i="63"/>
  <c r="D60" i="63"/>
  <c r="L60" i="63" s="1"/>
  <c r="B60" i="63"/>
  <c r="X59" i="63"/>
  <c r="Z59" i="63" s="1"/>
  <c r="V59" i="63"/>
  <c r="L59" i="63"/>
  <c r="N59" i="63" s="1"/>
  <c r="B59" i="63"/>
  <c r="T58" i="63"/>
  <c r="P58" i="63"/>
  <c r="X58" i="63" s="1"/>
  <c r="Z58" i="63" s="1"/>
  <c r="H58" i="63"/>
  <c r="N58" i="63" s="1"/>
  <c r="D58" i="63"/>
  <c r="L58" i="63" s="1"/>
  <c r="B58" i="63"/>
  <c r="Z57" i="63"/>
  <c r="X57" i="63"/>
  <c r="N57" i="63"/>
  <c r="L57" i="63"/>
  <c r="B57" i="63"/>
  <c r="T56" i="63"/>
  <c r="Z56" i="63" s="1"/>
  <c r="P56" i="63"/>
  <c r="X56" i="63" s="1"/>
  <c r="L56" i="63"/>
  <c r="N56" i="63" s="1"/>
  <c r="H56" i="63"/>
  <c r="D56" i="63"/>
  <c r="B56" i="63"/>
  <c r="X55" i="63"/>
  <c r="Z55" i="63" s="1"/>
  <c r="V55" i="63"/>
  <c r="L55" i="63"/>
  <c r="N55" i="63" s="1"/>
  <c r="B55" i="63"/>
  <c r="X54" i="63"/>
  <c r="Z54" i="63" s="1"/>
  <c r="T54" i="63"/>
  <c r="P54" i="63"/>
  <c r="H54" i="63"/>
  <c r="D54" i="63"/>
  <c r="B54" i="63"/>
  <c r="Z53" i="63"/>
  <c r="X53" i="63"/>
  <c r="V53" i="63"/>
  <c r="N53" i="63"/>
  <c r="L53" i="63"/>
  <c r="B53" i="63"/>
  <c r="Z52" i="63"/>
  <c r="X52" i="63"/>
  <c r="V52" i="63"/>
  <c r="N52" i="63"/>
  <c r="L52" i="63"/>
  <c r="B52" i="63"/>
  <c r="Z51" i="63"/>
  <c r="X51" i="63"/>
  <c r="V51" i="63"/>
  <c r="L51" i="63"/>
  <c r="N51" i="63" s="1"/>
  <c r="B51" i="63"/>
  <c r="X50" i="63"/>
  <c r="Z50" i="63" s="1"/>
  <c r="N50" i="63"/>
  <c r="L50" i="63"/>
  <c r="B50" i="63"/>
  <c r="Z49" i="63"/>
  <c r="X49" i="63"/>
  <c r="N49" i="63"/>
  <c r="L49" i="63"/>
  <c r="B49" i="63"/>
  <c r="Z48" i="63"/>
  <c r="X48" i="63"/>
  <c r="V48" i="63"/>
  <c r="N48" i="63"/>
  <c r="L48" i="63"/>
  <c r="B48" i="63"/>
  <c r="X47" i="63"/>
  <c r="Z47" i="63" s="1"/>
  <c r="V47" i="63"/>
  <c r="N47" i="63"/>
  <c r="L47" i="63"/>
  <c r="B47" i="63"/>
  <c r="Z46" i="63"/>
  <c r="X46" i="63"/>
  <c r="V46" i="63"/>
  <c r="N46" i="63"/>
  <c r="L46" i="63"/>
  <c r="B46" i="63"/>
  <c r="Z45" i="63"/>
  <c r="X45" i="63"/>
  <c r="V45" i="63"/>
  <c r="N45" i="63"/>
  <c r="L45" i="63"/>
  <c r="B45" i="63"/>
  <c r="Z44" i="63"/>
  <c r="X44" i="63"/>
  <c r="V44" i="63"/>
  <c r="N44" i="63"/>
  <c r="L44" i="63"/>
  <c r="B44" i="63"/>
  <c r="V43" i="63"/>
  <c r="T43" i="63"/>
  <c r="P43" i="63"/>
  <c r="X43" i="63" s="1"/>
  <c r="Z43" i="63" s="1"/>
  <c r="H43" i="63"/>
  <c r="L43" i="63" s="1"/>
  <c r="N43" i="63" s="1"/>
  <c r="D43" i="63"/>
  <c r="B43" i="63"/>
  <c r="Z42" i="63"/>
  <c r="X42" i="63"/>
  <c r="V42" i="63"/>
  <c r="N42" i="63"/>
  <c r="L42" i="63"/>
  <c r="B42" i="63"/>
  <c r="Z41" i="63"/>
  <c r="X41" i="63"/>
  <c r="V41" i="63"/>
  <c r="N41" i="63"/>
  <c r="L41" i="63"/>
  <c r="B41" i="63"/>
  <c r="Z40" i="63"/>
  <c r="X40" i="63"/>
  <c r="V40" i="63"/>
  <c r="N40" i="63"/>
  <c r="L40" i="63"/>
  <c r="B40" i="63"/>
  <c r="Z39" i="63"/>
  <c r="X39" i="63"/>
  <c r="V39" i="63"/>
  <c r="N39" i="63"/>
  <c r="L39" i="63"/>
  <c r="B39" i="63"/>
  <c r="Z38" i="63"/>
  <c r="X38" i="63"/>
  <c r="N38" i="63"/>
  <c r="L38" i="63"/>
  <c r="B38" i="63"/>
  <c r="Z37" i="63"/>
  <c r="X37" i="63"/>
  <c r="N37" i="63"/>
  <c r="L37" i="63"/>
  <c r="B37" i="63"/>
  <c r="Z36" i="63"/>
  <c r="X36" i="63"/>
  <c r="V36" i="63"/>
  <c r="N36" i="63"/>
  <c r="L36" i="63"/>
  <c r="B36" i="63"/>
  <c r="X35" i="63"/>
  <c r="Z35" i="63" s="1"/>
  <c r="V35" i="63"/>
  <c r="L35" i="63"/>
  <c r="N35" i="63" s="1"/>
  <c r="B35" i="63"/>
  <c r="X34" i="63"/>
  <c r="Z34" i="63" s="1"/>
  <c r="V34" i="63"/>
  <c r="L34" i="63"/>
  <c r="N34" i="63" s="1"/>
  <c r="B34" i="63"/>
  <c r="T33" i="63"/>
  <c r="X33" i="63" s="1"/>
  <c r="Z33" i="63" s="1"/>
  <c r="P33" i="63"/>
  <c r="L33" i="63"/>
  <c r="H33" i="63"/>
  <c r="N33" i="63" s="1"/>
  <c r="D33" i="63"/>
  <c r="B33" i="63"/>
  <c r="T32" i="63" a="1"/>
  <c r="T32" i="63" s="1"/>
  <c r="P32" i="63" a="1"/>
  <c r="P32" i="63" s="1"/>
  <c r="X32" i="63" s="1"/>
  <c r="H32" i="63" a="1"/>
  <c r="H32" i="63" s="1"/>
  <c r="D32" i="63" a="1"/>
  <c r="D32" i="63" s="1"/>
  <c r="L32" i="63" s="1"/>
  <c r="T30" i="63"/>
  <c r="T87" i="63" s="1"/>
  <c r="Z28" i="63"/>
  <c r="X28" i="63"/>
  <c r="V28" i="63"/>
  <c r="N28" i="63"/>
  <c r="L28" i="63"/>
  <c r="B28" i="63"/>
  <c r="Z27" i="63"/>
  <c r="X27" i="63"/>
  <c r="V27" i="63"/>
  <c r="N27" i="63"/>
  <c r="L27" i="63"/>
  <c r="J27" i="63"/>
  <c r="B27" i="63"/>
  <c r="Z26" i="63"/>
  <c r="X26" i="63"/>
  <c r="N26" i="63"/>
  <c r="L26" i="63"/>
  <c r="B26" i="63"/>
  <c r="Z25" i="63"/>
  <c r="X25" i="63"/>
  <c r="N25" i="63"/>
  <c r="L25" i="63"/>
  <c r="B25" i="63"/>
  <c r="Z24" i="63"/>
  <c r="X24" i="63"/>
  <c r="V24" i="63"/>
  <c r="N24" i="63"/>
  <c r="L24" i="63"/>
  <c r="J24" i="63"/>
  <c r="B24" i="63"/>
  <c r="Z23" i="63"/>
  <c r="X23" i="63"/>
  <c r="V23" i="63"/>
  <c r="N23" i="63"/>
  <c r="L23" i="63"/>
  <c r="J23" i="63"/>
  <c r="B23" i="63"/>
  <c r="Z22" i="63"/>
  <c r="X22" i="63"/>
  <c r="V22" i="63"/>
  <c r="N22" i="63"/>
  <c r="L22" i="63"/>
  <c r="B22" i="63"/>
  <c r="Z21" i="63"/>
  <c r="X21" i="63"/>
  <c r="V21" i="63"/>
  <c r="N21" i="63"/>
  <c r="L21" i="63"/>
  <c r="B21" i="63"/>
  <c r="Z20" i="63"/>
  <c r="X20" i="63"/>
  <c r="V20" i="63"/>
  <c r="N20" i="63"/>
  <c r="L20" i="63"/>
  <c r="J20" i="63"/>
  <c r="B20" i="63"/>
  <c r="X19" i="63"/>
  <c r="Z19" i="63" s="1"/>
  <c r="V19" i="63"/>
  <c r="L19" i="63"/>
  <c r="N19" i="63" s="1"/>
  <c r="J19" i="63"/>
  <c r="B19" i="63"/>
  <c r="T18" i="63"/>
  <c r="P18" i="63"/>
  <c r="X18" i="63" s="1"/>
  <c r="Z18" i="63" s="1"/>
  <c r="J18" i="63"/>
  <c r="H18" i="63"/>
  <c r="D18" i="63"/>
  <c r="Z16" i="63"/>
  <c r="X16" i="63"/>
  <c r="P16" i="63"/>
  <c r="N16" i="63"/>
  <c r="L16" i="63"/>
  <c r="D16" i="63"/>
  <c r="B16" i="63"/>
  <c r="Z15" i="63"/>
  <c r="P15" i="63"/>
  <c r="X15" i="63" s="1"/>
  <c r="N15" i="63"/>
  <c r="D15" i="63"/>
  <c r="L15" i="63" s="1"/>
  <c r="B15" i="63"/>
  <c r="P14" i="63"/>
  <c r="X14" i="63" s="1"/>
  <c r="Z14" i="63" s="1"/>
  <c r="D14" i="63"/>
  <c r="L14" i="63" s="1"/>
  <c r="N14" i="63" s="1"/>
  <c r="B14" i="63"/>
  <c r="P13" i="63"/>
  <c r="X13" i="63" s="1"/>
  <c r="Z13" i="63" s="1"/>
  <c r="L13" i="63"/>
  <c r="N13" i="63" s="1"/>
  <c r="D13" i="63"/>
  <c r="B13" i="63"/>
  <c r="T12" i="63"/>
  <c r="H12" i="63"/>
  <c r="J74" i="63" s="1"/>
  <c r="D6" i="63"/>
  <c r="D4" i="63"/>
  <c r="Z103" i="62"/>
  <c r="X103" i="62"/>
  <c r="N103" i="62"/>
  <c r="L103" i="62"/>
  <c r="X99" i="62"/>
  <c r="Z99" i="62" s="1"/>
  <c r="P99" i="62"/>
  <c r="N99" i="62"/>
  <c r="L99" i="62"/>
  <c r="D99" i="62"/>
  <c r="B99" i="62"/>
  <c r="P98" i="62"/>
  <c r="X98" i="62" s="1"/>
  <c r="Z98" i="62" s="1"/>
  <c r="L98" i="62"/>
  <c r="N98" i="62" s="1"/>
  <c r="D98" i="62"/>
  <c r="B98" i="62"/>
  <c r="T97" i="62"/>
  <c r="H97" i="62"/>
  <c r="N97" i="62" s="1"/>
  <c r="D97" i="62"/>
  <c r="L97" i="62" s="1"/>
  <c r="Z95" i="62"/>
  <c r="X95" i="62"/>
  <c r="L95" i="62"/>
  <c r="N95" i="62" s="1"/>
  <c r="B95" i="62"/>
  <c r="T94" i="62"/>
  <c r="P94" i="62"/>
  <c r="X94" i="62" s="1"/>
  <c r="Z94" i="62" s="1"/>
  <c r="L94" i="62"/>
  <c r="N94" i="62" s="1"/>
  <c r="H94" i="62"/>
  <c r="D94" i="62"/>
  <c r="B94" i="62"/>
  <c r="Z93" i="62"/>
  <c r="X93" i="62"/>
  <c r="N93" i="62"/>
  <c r="L93" i="62"/>
  <c r="B93" i="62"/>
  <c r="X92" i="62"/>
  <c r="Z92" i="62" s="1"/>
  <c r="L92" i="62"/>
  <c r="N92" i="62" s="1"/>
  <c r="B92" i="62"/>
  <c r="T91" i="62"/>
  <c r="P91" i="62"/>
  <c r="X91" i="62" s="1"/>
  <c r="Z91" i="62" s="1"/>
  <c r="H91" i="62"/>
  <c r="D91" i="62"/>
  <c r="B91" i="62"/>
  <c r="Z90" i="62"/>
  <c r="X90" i="62"/>
  <c r="N90" i="62"/>
  <c r="L90" i="62"/>
  <c r="B90" i="62"/>
  <c r="T89" i="62"/>
  <c r="P89" i="62"/>
  <c r="N89" i="62"/>
  <c r="L89" i="62"/>
  <c r="H89" i="62"/>
  <c r="D89" i="62"/>
  <c r="B89" i="62"/>
  <c r="X88" i="62"/>
  <c r="Z88" i="62" s="1"/>
  <c r="L88" i="62"/>
  <c r="N88" i="62" s="1"/>
  <c r="B88" i="62"/>
  <c r="X87" i="62"/>
  <c r="Z87" i="62" s="1"/>
  <c r="T87" i="62"/>
  <c r="P87" i="62"/>
  <c r="H87" i="62"/>
  <c r="D87" i="62"/>
  <c r="L87" i="62" s="1"/>
  <c r="B87" i="62"/>
  <c r="Z86" i="62"/>
  <c r="X86" i="62"/>
  <c r="N86" i="62"/>
  <c r="L86" i="62"/>
  <c r="B86" i="62"/>
  <c r="Z85" i="62"/>
  <c r="X85" i="62"/>
  <c r="N85" i="62"/>
  <c r="L85" i="62"/>
  <c r="B85" i="62"/>
  <c r="X84" i="62"/>
  <c r="Z84" i="62" s="1"/>
  <c r="L84" i="62"/>
  <c r="N84" i="62" s="1"/>
  <c r="B84" i="62"/>
  <c r="Z83" i="62"/>
  <c r="X83" i="62"/>
  <c r="N83" i="62"/>
  <c r="L83" i="62"/>
  <c r="B83" i="62"/>
  <c r="Z82" i="62"/>
  <c r="X82" i="62"/>
  <c r="N82" i="62"/>
  <c r="L82" i="62"/>
  <c r="B82" i="62"/>
  <c r="X81" i="62"/>
  <c r="Z81" i="62" s="1"/>
  <c r="L81" i="62"/>
  <c r="N81" i="62" s="1"/>
  <c r="B81" i="62"/>
  <c r="X80" i="62"/>
  <c r="Z80" i="62" s="1"/>
  <c r="T80" i="62"/>
  <c r="P80" i="62"/>
  <c r="H80" i="62"/>
  <c r="L80" i="62" s="1"/>
  <c r="N80" i="62" s="1"/>
  <c r="D80" i="62"/>
  <c r="B80" i="62"/>
  <c r="X79" i="62"/>
  <c r="Z79" i="62" s="1"/>
  <c r="N79" i="62"/>
  <c r="L79" i="62"/>
  <c r="B79" i="62"/>
  <c r="T78" i="62"/>
  <c r="X78" i="62" s="1"/>
  <c r="Z78" i="62" s="1"/>
  <c r="P78" i="62"/>
  <c r="H78" i="62"/>
  <c r="N78" i="62" s="1"/>
  <c r="D78" i="62"/>
  <c r="L78" i="62" s="1"/>
  <c r="B78" i="62"/>
  <c r="Z77" i="62"/>
  <c r="X77" i="62"/>
  <c r="N77" i="62"/>
  <c r="L77" i="62"/>
  <c r="B77" i="62"/>
  <c r="X76" i="62"/>
  <c r="Z76" i="62" s="1"/>
  <c r="L76" i="62"/>
  <c r="N76" i="62" s="1"/>
  <c r="B76" i="62"/>
  <c r="X75" i="62"/>
  <c r="Z75" i="62" s="1"/>
  <c r="T75" i="62"/>
  <c r="P75" i="62"/>
  <c r="H75" i="62"/>
  <c r="N75" i="62" s="1"/>
  <c r="D75" i="62"/>
  <c r="L75" i="62" s="1"/>
  <c r="B75" i="62"/>
  <c r="Z74" i="62"/>
  <c r="X74" i="62"/>
  <c r="N74" i="62"/>
  <c r="L74" i="62"/>
  <c r="B74" i="62"/>
  <c r="X73" i="62"/>
  <c r="Z73" i="62" s="1"/>
  <c r="L73" i="62"/>
  <c r="N73" i="62" s="1"/>
  <c r="B73" i="62"/>
  <c r="X72" i="62"/>
  <c r="Z72" i="62" s="1"/>
  <c r="L72" i="62"/>
  <c r="N72" i="62" s="1"/>
  <c r="B72" i="62"/>
  <c r="X71" i="62"/>
  <c r="Z71" i="62" s="1"/>
  <c r="N71" i="62"/>
  <c r="L71" i="62"/>
  <c r="B71" i="62"/>
  <c r="T70" i="62"/>
  <c r="X70" i="62" s="1"/>
  <c r="Z70" i="62" s="1"/>
  <c r="P70" i="62"/>
  <c r="H70" i="62"/>
  <c r="N70" i="62" s="1"/>
  <c r="D70" i="62"/>
  <c r="L70" i="62" s="1"/>
  <c r="B70" i="62"/>
  <c r="X69" i="62"/>
  <c r="Z69" i="62" s="1"/>
  <c r="L69" i="62"/>
  <c r="N69" i="62" s="1"/>
  <c r="B69" i="62"/>
  <c r="T68" i="62"/>
  <c r="Z68" i="62" s="1"/>
  <c r="P68" i="62"/>
  <c r="X68" i="62" s="1"/>
  <c r="H68" i="62"/>
  <c r="D68" i="62"/>
  <c r="L68" i="62" s="1"/>
  <c r="N68" i="62" s="1"/>
  <c r="B68" i="62"/>
  <c r="Z67" i="62"/>
  <c r="X67" i="62"/>
  <c r="N67" i="62"/>
  <c r="L67" i="62"/>
  <c r="B67" i="62"/>
  <c r="Z66" i="62"/>
  <c r="T66" i="62"/>
  <c r="P66" i="62"/>
  <c r="X66" i="62" s="1"/>
  <c r="N66" i="62"/>
  <c r="L66" i="62"/>
  <c r="H66" i="62"/>
  <c r="D66" i="62"/>
  <c r="B66" i="62"/>
  <c r="X65" i="62"/>
  <c r="Z65" i="62" s="1"/>
  <c r="N65" i="62"/>
  <c r="L65" i="62"/>
  <c r="B65" i="62"/>
  <c r="X64" i="62"/>
  <c r="Z64" i="62" s="1"/>
  <c r="T64" i="62"/>
  <c r="P64" i="62"/>
  <c r="H64" i="62"/>
  <c r="L64" i="62" s="1"/>
  <c r="N64" i="62" s="1"/>
  <c r="D64" i="62"/>
  <c r="B64" i="62"/>
  <c r="X63" i="62"/>
  <c r="Z63" i="62" s="1"/>
  <c r="N63" i="62"/>
  <c r="L63" i="62"/>
  <c r="B63" i="62"/>
  <c r="T62" i="62"/>
  <c r="X62" i="62" s="1"/>
  <c r="Z62" i="62" s="1"/>
  <c r="P62" i="62"/>
  <c r="H62" i="62"/>
  <c r="N62" i="62" s="1"/>
  <c r="D62" i="62"/>
  <c r="L62" i="62" s="1"/>
  <c r="B62" i="62"/>
  <c r="Z61" i="62"/>
  <c r="X61" i="62"/>
  <c r="N61" i="62"/>
  <c r="L61" i="62"/>
  <c r="B61" i="62"/>
  <c r="T60" i="62"/>
  <c r="Z60" i="62" s="1"/>
  <c r="P60" i="62"/>
  <c r="X60" i="62" s="1"/>
  <c r="H60" i="62"/>
  <c r="D60" i="62"/>
  <c r="L60" i="62" s="1"/>
  <c r="N60" i="62" s="1"/>
  <c r="B60" i="62"/>
  <c r="Z59" i="62"/>
  <c r="X59" i="62"/>
  <c r="L59" i="62"/>
  <c r="N59" i="62" s="1"/>
  <c r="B59" i="62"/>
  <c r="T58" i="62"/>
  <c r="P58" i="62"/>
  <c r="X58" i="62" s="1"/>
  <c r="Z58" i="62" s="1"/>
  <c r="L58" i="62"/>
  <c r="N58" i="62" s="1"/>
  <c r="H58" i="62"/>
  <c r="D58" i="62"/>
  <c r="B58" i="62"/>
  <c r="Z57" i="62"/>
  <c r="X57" i="62"/>
  <c r="N57" i="62"/>
  <c r="L57" i="62"/>
  <c r="B57" i="62"/>
  <c r="X56" i="62"/>
  <c r="Z56" i="62" s="1"/>
  <c r="T56" i="62"/>
  <c r="P56" i="62"/>
  <c r="H56" i="62"/>
  <c r="L56" i="62" s="1"/>
  <c r="N56" i="62" s="1"/>
  <c r="D56" i="62"/>
  <c r="B56" i="62"/>
  <c r="X55" i="62"/>
  <c r="Z55" i="62" s="1"/>
  <c r="N55" i="62"/>
  <c r="L55" i="62"/>
  <c r="B55" i="62"/>
  <c r="T54" i="62"/>
  <c r="X54" i="62" s="1"/>
  <c r="Z54" i="62" s="1"/>
  <c r="P54" i="62"/>
  <c r="H54" i="62"/>
  <c r="N54" i="62" s="1"/>
  <c r="D54" i="62"/>
  <c r="L54" i="62" s="1"/>
  <c r="B54" i="62"/>
  <c r="Z53" i="62"/>
  <c r="X53" i="62"/>
  <c r="N53" i="62"/>
  <c r="L53" i="62"/>
  <c r="B53" i="62"/>
  <c r="Z52" i="62"/>
  <c r="X52" i="62"/>
  <c r="N52" i="62"/>
  <c r="L52" i="62"/>
  <c r="B52" i="62"/>
  <c r="Z51" i="62"/>
  <c r="X51" i="62"/>
  <c r="T51" i="62"/>
  <c r="P51" i="62"/>
  <c r="H51" i="62"/>
  <c r="N51" i="62" s="1"/>
  <c r="D51" i="62"/>
  <c r="L51" i="62" s="1"/>
  <c r="B51" i="62"/>
  <c r="Z50" i="62"/>
  <c r="X50" i="62"/>
  <c r="N50" i="62"/>
  <c r="L50" i="62"/>
  <c r="B50" i="62"/>
  <c r="Z49" i="62"/>
  <c r="X49" i="62"/>
  <c r="N49" i="62"/>
  <c r="L49" i="62"/>
  <c r="B49" i="62"/>
  <c r="T48" i="62"/>
  <c r="Z48" i="62" s="1"/>
  <c r="P48" i="62"/>
  <c r="X48" i="62" s="1"/>
  <c r="H48" i="62"/>
  <c r="D48" i="62"/>
  <c r="L48" i="62" s="1"/>
  <c r="N48" i="62" s="1"/>
  <c r="B48" i="62"/>
  <c r="Z47" i="62"/>
  <c r="X47" i="62"/>
  <c r="L47" i="62"/>
  <c r="N47" i="62" s="1"/>
  <c r="B47" i="62"/>
  <c r="T46" i="62"/>
  <c r="P46" i="62"/>
  <c r="X46" i="62" s="1"/>
  <c r="Z46" i="62" s="1"/>
  <c r="L46" i="62"/>
  <c r="N46" i="62" s="1"/>
  <c r="H46" i="62"/>
  <c r="D46" i="62"/>
  <c r="B46" i="62"/>
  <c r="Z45" i="62"/>
  <c r="X45" i="62"/>
  <c r="N45" i="62"/>
  <c r="L45" i="62"/>
  <c r="B45" i="62"/>
  <c r="X44" i="62"/>
  <c r="Z44" i="62" s="1"/>
  <c r="T44" i="62"/>
  <c r="P44" i="62"/>
  <c r="H44" i="62"/>
  <c r="L44" i="62" s="1"/>
  <c r="N44" i="62" s="1"/>
  <c r="D44" i="62"/>
  <c r="B44" i="62"/>
  <c r="Z43" i="62"/>
  <c r="X43" i="62"/>
  <c r="N43" i="62"/>
  <c r="L43" i="62"/>
  <c r="B43" i="62"/>
  <c r="Z42" i="62"/>
  <c r="T42" i="62"/>
  <c r="X42" i="62" s="1"/>
  <c r="P42" i="62"/>
  <c r="H42" i="62"/>
  <c r="N42" i="62" s="1"/>
  <c r="D42" i="62"/>
  <c r="L42" i="62" s="1"/>
  <c r="B42" i="62"/>
  <c r="Z41" i="62"/>
  <c r="X41" i="62"/>
  <c r="N41" i="62"/>
  <c r="L41" i="62"/>
  <c r="B41" i="62"/>
  <c r="Z40" i="62"/>
  <c r="X40" i="62"/>
  <c r="N40" i="62"/>
  <c r="L40" i="62"/>
  <c r="B40" i="62"/>
  <c r="X39" i="62"/>
  <c r="Z39" i="62" s="1"/>
  <c r="N39" i="62"/>
  <c r="L39" i="62"/>
  <c r="B39" i="62"/>
  <c r="Z38" i="62"/>
  <c r="X38" i="62"/>
  <c r="N38" i="62"/>
  <c r="L38" i="62"/>
  <c r="B38" i="62"/>
  <c r="Z37" i="62"/>
  <c r="X37" i="62"/>
  <c r="N37" i="62"/>
  <c r="L37" i="62"/>
  <c r="B37" i="62"/>
  <c r="Z36" i="62"/>
  <c r="X36" i="62"/>
  <c r="N36" i="62"/>
  <c r="L36" i="62"/>
  <c r="J36" i="62"/>
  <c r="B36" i="62"/>
  <c r="Z35" i="62"/>
  <c r="X35" i="62"/>
  <c r="L35" i="62"/>
  <c r="N35" i="62" s="1"/>
  <c r="B35" i="62"/>
  <c r="Z34" i="62"/>
  <c r="X34" i="62"/>
  <c r="N34" i="62"/>
  <c r="L34" i="62"/>
  <c r="B34" i="62"/>
  <c r="Z33" i="62"/>
  <c r="X33" i="62"/>
  <c r="N33" i="62"/>
  <c r="L33" i="62"/>
  <c r="J33" i="62"/>
  <c r="B33" i="62"/>
  <c r="X32" i="62"/>
  <c r="Z32" i="62" s="1"/>
  <c r="L32" i="62"/>
  <c r="N32" i="62" s="1"/>
  <c r="B32" i="62"/>
  <c r="X31" i="62"/>
  <c r="Z31" i="62" s="1"/>
  <c r="T31" i="62"/>
  <c r="P31" i="62"/>
  <c r="H31" i="62"/>
  <c r="N31" i="62" s="1"/>
  <c r="D31" i="62"/>
  <c r="L31" i="62" s="1"/>
  <c r="B31" i="62"/>
  <c r="Z30" i="62"/>
  <c r="X30" i="62"/>
  <c r="N30" i="62"/>
  <c r="L30" i="62"/>
  <c r="B30" i="62"/>
  <c r="Z29" i="62"/>
  <c r="X29" i="62"/>
  <c r="L29" i="62"/>
  <c r="N29" i="62" s="1"/>
  <c r="J29" i="62"/>
  <c r="B29" i="62"/>
  <c r="X28" i="62"/>
  <c r="Z28" i="62" s="1"/>
  <c r="L28" i="62"/>
  <c r="N28" i="62" s="1"/>
  <c r="J28" i="62"/>
  <c r="B28" i="62"/>
  <c r="Z27" i="62"/>
  <c r="X27" i="62"/>
  <c r="N27" i="62"/>
  <c r="L27" i="62"/>
  <c r="B27" i="62"/>
  <c r="Z26" i="62"/>
  <c r="X26" i="62"/>
  <c r="N26" i="62"/>
  <c r="L26" i="62"/>
  <c r="B26" i="62"/>
  <c r="X25" i="62"/>
  <c r="Z25" i="62" s="1"/>
  <c r="L25" i="62"/>
  <c r="N25" i="62" s="1"/>
  <c r="J25" i="62"/>
  <c r="B25" i="62"/>
  <c r="X24" i="62"/>
  <c r="Z24" i="62" s="1"/>
  <c r="L24" i="62"/>
  <c r="N24" i="62" s="1"/>
  <c r="J24" i="62"/>
  <c r="B24" i="62"/>
  <c r="Z23" i="62"/>
  <c r="X23" i="62"/>
  <c r="L23" i="62"/>
  <c r="N23" i="62" s="1"/>
  <c r="B23" i="62"/>
  <c r="Z22" i="62"/>
  <c r="X22" i="62"/>
  <c r="N22" i="62"/>
  <c r="L22" i="62"/>
  <c r="B22" i="62"/>
  <c r="X21" i="62"/>
  <c r="Z21" i="62" s="1"/>
  <c r="R21" i="62"/>
  <c r="N21" i="62"/>
  <c r="L21" i="62"/>
  <c r="J21" i="62"/>
  <c r="B21" i="62"/>
  <c r="V20" i="62"/>
  <c r="T20" i="62"/>
  <c r="P20" i="62"/>
  <c r="X20" i="62" s="1"/>
  <c r="H20" i="62"/>
  <c r="D20" i="62"/>
  <c r="L20" i="62" s="1"/>
  <c r="N20" i="62" s="1"/>
  <c r="B20" i="62"/>
  <c r="T19" i="62" a="1"/>
  <c r="T19" i="62" s="1"/>
  <c r="R19" i="62"/>
  <c r="P19" i="62" a="1"/>
  <c r="P19" i="62" s="1"/>
  <c r="H19" i="62" a="1"/>
  <c r="H19" i="62"/>
  <c r="D19" i="62" a="1"/>
  <c r="D19" i="62" s="1"/>
  <c r="P17" i="62"/>
  <c r="J17" i="62"/>
  <c r="Z15" i="62"/>
  <c r="X15" i="62"/>
  <c r="V15" i="62"/>
  <c r="N15" i="62"/>
  <c r="L15" i="62"/>
  <c r="B15" i="62"/>
  <c r="Z14" i="62"/>
  <c r="X14" i="62"/>
  <c r="T14" i="62"/>
  <c r="R14" i="62"/>
  <c r="P14" i="62"/>
  <c r="J14" i="62"/>
  <c r="H14" i="62"/>
  <c r="D14" i="62"/>
  <c r="Z12" i="62"/>
  <c r="T12" i="62"/>
  <c r="V95" i="62" s="1"/>
  <c r="P12" i="62"/>
  <c r="R105" i="62" s="1"/>
  <c r="N12" i="62"/>
  <c r="L12" i="62"/>
  <c r="H12" i="62"/>
  <c r="J108" i="62" s="1"/>
  <c r="D12" i="62"/>
  <c r="F91" i="62" s="1"/>
  <c r="D6" i="62"/>
  <c r="D4" i="62"/>
  <c r="Z59" i="61"/>
  <c r="X59" i="61"/>
  <c r="N59" i="61"/>
  <c r="L59" i="61"/>
  <c r="Z55" i="61"/>
  <c r="X55" i="61"/>
  <c r="T55" i="61"/>
  <c r="P55" i="61"/>
  <c r="L55" i="61"/>
  <c r="H55" i="61"/>
  <c r="N55" i="61" s="1"/>
  <c r="D55" i="61"/>
  <c r="X53" i="61"/>
  <c r="Z53" i="61" s="1"/>
  <c r="N53" i="61"/>
  <c r="L53" i="61"/>
  <c r="B53" i="61"/>
  <c r="X52" i="61"/>
  <c r="Z52" i="61" s="1"/>
  <c r="T52" i="61"/>
  <c r="P52" i="61"/>
  <c r="H52" i="61"/>
  <c r="N52" i="61" s="1"/>
  <c r="D52" i="61"/>
  <c r="B52" i="61"/>
  <c r="Z51" i="61"/>
  <c r="X51" i="61"/>
  <c r="L51" i="61"/>
  <c r="N51" i="61" s="1"/>
  <c r="B51" i="61"/>
  <c r="X50" i="61"/>
  <c r="Z50" i="61" s="1"/>
  <c r="N50" i="61"/>
  <c r="L50" i="61"/>
  <c r="B50" i="61"/>
  <c r="T49" i="61"/>
  <c r="P49" i="61"/>
  <c r="X49" i="61" s="1"/>
  <c r="H49" i="61"/>
  <c r="D49" i="61"/>
  <c r="L49" i="61" s="1"/>
  <c r="N49" i="61" s="1"/>
  <c r="B49" i="61"/>
  <c r="Z48" i="61"/>
  <c r="X48" i="61"/>
  <c r="L48" i="61"/>
  <c r="N48" i="61" s="1"/>
  <c r="B48" i="61"/>
  <c r="T47" i="61"/>
  <c r="P47" i="61"/>
  <c r="X47" i="61" s="1"/>
  <c r="Z47" i="61" s="1"/>
  <c r="L47" i="61"/>
  <c r="N47" i="61" s="1"/>
  <c r="H47" i="61"/>
  <c r="D47" i="61"/>
  <c r="B47" i="61"/>
  <c r="Z46" i="61"/>
  <c r="X46" i="61"/>
  <c r="N46" i="61"/>
  <c r="L46" i="61"/>
  <c r="B46" i="61"/>
  <c r="X45" i="61"/>
  <c r="Z45" i="61" s="1"/>
  <c r="L45" i="61"/>
  <c r="N45" i="61" s="1"/>
  <c r="B45" i="61"/>
  <c r="T44" i="61"/>
  <c r="P44" i="61"/>
  <c r="X44" i="61" s="1"/>
  <c r="Z44" i="61" s="1"/>
  <c r="N44" i="61"/>
  <c r="H44" i="61"/>
  <c r="D44" i="61"/>
  <c r="L44" i="61" s="1"/>
  <c r="B44" i="61"/>
  <c r="X43" i="61"/>
  <c r="Z43" i="61" s="1"/>
  <c r="N43" i="61"/>
  <c r="L43" i="61"/>
  <c r="B43" i="61"/>
  <c r="Z42" i="61"/>
  <c r="T42" i="61"/>
  <c r="P42" i="61"/>
  <c r="X42" i="61" s="1"/>
  <c r="N42" i="61"/>
  <c r="L42" i="61"/>
  <c r="H42" i="61"/>
  <c r="D42" i="61"/>
  <c r="B42" i="61"/>
  <c r="X41" i="61"/>
  <c r="Z41" i="61" s="1"/>
  <c r="L41" i="61"/>
  <c r="N41" i="61" s="1"/>
  <c r="B41" i="61"/>
  <c r="X40" i="61"/>
  <c r="Z40" i="61" s="1"/>
  <c r="T40" i="61"/>
  <c r="P40" i="61"/>
  <c r="H40" i="61"/>
  <c r="D40" i="61"/>
  <c r="B40" i="61"/>
  <c r="Z39" i="61"/>
  <c r="X39" i="61"/>
  <c r="N39" i="61"/>
  <c r="L39" i="61"/>
  <c r="B39" i="61"/>
  <c r="Z38" i="61"/>
  <c r="X38" i="61"/>
  <c r="N38" i="61"/>
  <c r="L38" i="61"/>
  <c r="B38" i="61"/>
  <c r="X37" i="61"/>
  <c r="Z37" i="61" s="1"/>
  <c r="L37" i="61"/>
  <c r="N37" i="61" s="1"/>
  <c r="B37" i="61"/>
  <c r="X36" i="61"/>
  <c r="Z36" i="61" s="1"/>
  <c r="N36" i="61"/>
  <c r="L36" i="61"/>
  <c r="B36" i="61"/>
  <c r="Z35" i="61"/>
  <c r="X35" i="61"/>
  <c r="N35" i="61"/>
  <c r="L35" i="61"/>
  <c r="B35" i="61"/>
  <c r="Z34" i="61"/>
  <c r="X34" i="61"/>
  <c r="N34" i="61"/>
  <c r="L34" i="61"/>
  <c r="F34" i="61"/>
  <c r="B34" i="61"/>
  <c r="X33" i="61"/>
  <c r="Z33" i="61" s="1"/>
  <c r="L33" i="61"/>
  <c r="N33" i="61" s="1"/>
  <c r="B33" i="61"/>
  <c r="Z32" i="61"/>
  <c r="X32" i="61"/>
  <c r="N32" i="61"/>
  <c r="L32" i="61"/>
  <c r="B32" i="61"/>
  <c r="Z31" i="61"/>
  <c r="X31" i="61"/>
  <c r="N31" i="61"/>
  <c r="L31" i="61"/>
  <c r="B31" i="61"/>
  <c r="Z30" i="61"/>
  <c r="X30" i="61"/>
  <c r="N30" i="61"/>
  <c r="L30" i="61"/>
  <c r="B30" i="61"/>
  <c r="X29" i="61"/>
  <c r="T29" i="61"/>
  <c r="Z29" i="61" s="1"/>
  <c r="P29" i="61"/>
  <c r="H29" i="61"/>
  <c r="N29" i="61" s="1"/>
  <c r="D29" i="61"/>
  <c r="L29" i="61" s="1"/>
  <c r="B29" i="61"/>
  <c r="X28" i="61"/>
  <c r="Z28" i="61" s="1"/>
  <c r="L28" i="61"/>
  <c r="N28" i="61" s="1"/>
  <c r="B28" i="61"/>
  <c r="Z27" i="61"/>
  <c r="X27" i="61"/>
  <c r="L27" i="61"/>
  <c r="N27" i="61" s="1"/>
  <c r="B27" i="61"/>
  <c r="X26" i="61"/>
  <c r="Z26" i="61" s="1"/>
  <c r="N26" i="61"/>
  <c r="L26" i="61"/>
  <c r="B26" i="61"/>
  <c r="Z25" i="61"/>
  <c r="X25" i="61"/>
  <c r="N25" i="61"/>
  <c r="L25" i="61"/>
  <c r="B25" i="61"/>
  <c r="Z24" i="61"/>
  <c r="X24" i="61"/>
  <c r="N24" i="61"/>
  <c r="L24" i="61"/>
  <c r="B24" i="61"/>
  <c r="X23" i="61"/>
  <c r="Z23" i="61" s="1"/>
  <c r="N23" i="61"/>
  <c r="L23" i="61"/>
  <c r="F23" i="61"/>
  <c r="B23" i="61"/>
  <c r="Z22" i="61"/>
  <c r="X22" i="61"/>
  <c r="L22" i="61"/>
  <c r="N22" i="61" s="1"/>
  <c r="F22" i="61"/>
  <c r="B22" i="61"/>
  <c r="Z21" i="61"/>
  <c r="X21" i="61"/>
  <c r="L21" i="61"/>
  <c r="N21" i="61" s="1"/>
  <c r="F21" i="61"/>
  <c r="B21" i="61"/>
  <c r="Z20" i="61"/>
  <c r="X20" i="61"/>
  <c r="L20" i="61"/>
  <c r="N20" i="61" s="1"/>
  <c r="F20" i="61"/>
  <c r="B20" i="61"/>
  <c r="T19" i="61"/>
  <c r="Z19" i="61" s="1"/>
  <c r="P19" i="61"/>
  <c r="X19" i="61" s="1"/>
  <c r="L19" i="61"/>
  <c r="N19" i="61" s="1"/>
  <c r="H19" i="61"/>
  <c r="D19" i="61"/>
  <c r="B19" i="61"/>
  <c r="V18" i="61"/>
  <c r="T18" i="61" a="1"/>
  <c r="T18" i="61" s="1"/>
  <c r="P18" i="61" a="1"/>
  <c r="P18" i="61" s="1"/>
  <c r="H18" i="61" a="1"/>
  <c r="H18" i="61" s="1"/>
  <c r="D18" i="61" a="1"/>
  <c r="D18" i="61" s="1"/>
  <c r="L18" i="61" s="1"/>
  <c r="P16" i="61"/>
  <c r="J16" i="61"/>
  <c r="V14" i="61"/>
  <c r="T14" i="61"/>
  <c r="Z14" i="61" s="1"/>
  <c r="R14" i="61"/>
  <c r="P14" i="61"/>
  <c r="X14" i="61" s="1"/>
  <c r="H14" i="61"/>
  <c r="N14" i="61" s="1"/>
  <c r="D14" i="61"/>
  <c r="L14" i="61" s="1"/>
  <c r="T12" i="61"/>
  <c r="V52" i="61" s="1"/>
  <c r="P12" i="61"/>
  <c r="R41" i="61" s="1"/>
  <c r="H12" i="61"/>
  <c r="J44" i="61" s="1"/>
  <c r="D12" i="61"/>
  <c r="F52" i="61" s="1"/>
  <c r="D6" i="61"/>
  <c r="D4" i="61"/>
  <c r="V63" i="60"/>
  <c r="Z61" i="60"/>
  <c r="X61" i="60"/>
  <c r="N61" i="60"/>
  <c r="L61" i="60"/>
  <c r="Z57" i="60"/>
  <c r="V57" i="60"/>
  <c r="T57" i="60"/>
  <c r="P57" i="60"/>
  <c r="X57" i="60" s="1"/>
  <c r="N57" i="60"/>
  <c r="H57" i="60"/>
  <c r="D57" i="60"/>
  <c r="L57" i="60" s="1"/>
  <c r="X55" i="60"/>
  <c r="Z55" i="60" s="1"/>
  <c r="N55" i="60"/>
  <c r="L55" i="60"/>
  <c r="B55" i="60"/>
  <c r="T54" i="60"/>
  <c r="P54" i="60"/>
  <c r="X54" i="60" s="1"/>
  <c r="Z54" i="60" s="1"/>
  <c r="L54" i="60"/>
  <c r="H54" i="60"/>
  <c r="N54" i="60" s="1"/>
  <c r="D54" i="60"/>
  <c r="B54" i="60"/>
  <c r="Z53" i="60"/>
  <c r="X53" i="60"/>
  <c r="N53" i="60"/>
  <c r="L53" i="60"/>
  <c r="B53" i="60"/>
  <c r="X52" i="60"/>
  <c r="Z52" i="60" s="1"/>
  <c r="L52" i="60"/>
  <c r="N52" i="60" s="1"/>
  <c r="B52" i="60"/>
  <c r="Z51" i="60"/>
  <c r="X51" i="60"/>
  <c r="N51" i="60"/>
  <c r="L51" i="60"/>
  <c r="B51" i="60"/>
  <c r="T50" i="60"/>
  <c r="P50" i="60"/>
  <c r="X50" i="60" s="1"/>
  <c r="Z50" i="60" s="1"/>
  <c r="L50" i="60"/>
  <c r="H50" i="60"/>
  <c r="N50" i="60" s="1"/>
  <c r="D50" i="60"/>
  <c r="B50" i="60"/>
  <c r="Z49" i="60"/>
  <c r="X49" i="60"/>
  <c r="N49" i="60"/>
  <c r="L49" i="60"/>
  <c r="B49" i="60"/>
  <c r="X48" i="60"/>
  <c r="T48" i="60"/>
  <c r="Z48" i="60" s="1"/>
  <c r="P48" i="60"/>
  <c r="L48" i="60"/>
  <c r="H48" i="60"/>
  <c r="N48" i="60" s="1"/>
  <c r="D48" i="60"/>
  <c r="B48" i="60"/>
  <c r="Z47" i="60"/>
  <c r="X47" i="60"/>
  <c r="V47" i="60"/>
  <c r="N47" i="60"/>
  <c r="L47" i="60"/>
  <c r="B47" i="60"/>
  <c r="X46" i="60"/>
  <c r="Z46" i="60" s="1"/>
  <c r="N46" i="60"/>
  <c r="L46" i="60"/>
  <c r="B46" i="60"/>
  <c r="Z45" i="60"/>
  <c r="X45" i="60"/>
  <c r="V45" i="60"/>
  <c r="N45" i="60"/>
  <c r="L45" i="60"/>
  <c r="B45" i="60"/>
  <c r="X44" i="60"/>
  <c r="T44" i="60"/>
  <c r="Z44" i="60" s="1"/>
  <c r="P44" i="60"/>
  <c r="L44" i="60"/>
  <c r="H44" i="60"/>
  <c r="N44" i="60" s="1"/>
  <c r="D44" i="60"/>
  <c r="B44" i="60"/>
  <c r="Z43" i="60"/>
  <c r="X43" i="60"/>
  <c r="V43" i="60"/>
  <c r="N43" i="60"/>
  <c r="L43" i="60"/>
  <c r="B43" i="60"/>
  <c r="X42" i="60"/>
  <c r="T42" i="60"/>
  <c r="Z42" i="60" s="1"/>
  <c r="P42" i="60"/>
  <c r="H42" i="60"/>
  <c r="D42" i="60"/>
  <c r="L42" i="60" s="1"/>
  <c r="B42" i="60"/>
  <c r="Z41" i="60"/>
  <c r="X41" i="60"/>
  <c r="V41" i="60"/>
  <c r="N41" i="60"/>
  <c r="L41" i="60"/>
  <c r="B41" i="60"/>
  <c r="T40" i="60"/>
  <c r="Z40" i="60" s="1"/>
  <c r="P40" i="60"/>
  <c r="X40" i="60" s="1"/>
  <c r="H40" i="60"/>
  <c r="N40" i="60" s="1"/>
  <c r="D40" i="60"/>
  <c r="L40" i="60" s="1"/>
  <c r="B40" i="60"/>
  <c r="Z39" i="60"/>
  <c r="X39" i="60"/>
  <c r="N39" i="60"/>
  <c r="L39" i="60"/>
  <c r="J39" i="60"/>
  <c r="B39" i="60"/>
  <c r="Z38" i="60"/>
  <c r="X38" i="60"/>
  <c r="N38" i="60"/>
  <c r="L38" i="60"/>
  <c r="B38" i="60"/>
  <c r="Z37" i="60"/>
  <c r="X37" i="60"/>
  <c r="V37" i="60"/>
  <c r="N37" i="60"/>
  <c r="L37" i="60"/>
  <c r="B37" i="60"/>
  <c r="Z36" i="60"/>
  <c r="X36" i="60"/>
  <c r="N36" i="60"/>
  <c r="L36" i="60"/>
  <c r="B36" i="60"/>
  <c r="Z35" i="60"/>
  <c r="X35" i="60"/>
  <c r="V35" i="60"/>
  <c r="N35" i="60"/>
  <c r="L35" i="60"/>
  <c r="B35" i="60"/>
  <c r="Z34" i="60"/>
  <c r="X34" i="60"/>
  <c r="N34" i="60"/>
  <c r="L34" i="60"/>
  <c r="B34" i="60"/>
  <c r="Z33" i="60"/>
  <c r="X33" i="60"/>
  <c r="V33" i="60"/>
  <c r="N33" i="60"/>
  <c r="L33" i="60"/>
  <c r="B33" i="60"/>
  <c r="Z32" i="60"/>
  <c r="X32" i="60"/>
  <c r="V32" i="60"/>
  <c r="N32" i="60"/>
  <c r="L32" i="60"/>
  <c r="F32" i="60"/>
  <c r="B32" i="60"/>
  <c r="Z31" i="60"/>
  <c r="X31" i="60"/>
  <c r="V31" i="60"/>
  <c r="N31" i="60"/>
  <c r="L31" i="60"/>
  <c r="J31" i="60"/>
  <c r="B31" i="60"/>
  <c r="Z30" i="60"/>
  <c r="X30" i="60"/>
  <c r="N30" i="60"/>
  <c r="L30" i="60"/>
  <c r="B30" i="60"/>
  <c r="V29" i="60"/>
  <c r="T29" i="60"/>
  <c r="P29" i="60"/>
  <c r="X29" i="60" s="1"/>
  <c r="Z29" i="60" s="1"/>
  <c r="N29" i="60"/>
  <c r="L29" i="60"/>
  <c r="H29" i="60"/>
  <c r="D29" i="60"/>
  <c r="B29" i="60"/>
  <c r="X28" i="60"/>
  <c r="Z28" i="60" s="1"/>
  <c r="V28" i="60"/>
  <c r="L28" i="60"/>
  <c r="N28" i="60" s="1"/>
  <c r="F28" i="60"/>
  <c r="B28" i="60"/>
  <c r="Z27" i="60"/>
  <c r="X27" i="60"/>
  <c r="V27" i="60"/>
  <c r="N27" i="60"/>
  <c r="L27" i="60"/>
  <c r="J27" i="60"/>
  <c r="B27" i="60"/>
  <c r="Z26" i="60"/>
  <c r="X26" i="60"/>
  <c r="L26" i="60"/>
  <c r="N26" i="60" s="1"/>
  <c r="B26" i="60"/>
  <c r="Z25" i="60"/>
  <c r="X25" i="60"/>
  <c r="V25" i="60"/>
  <c r="N25" i="60"/>
  <c r="L25" i="60"/>
  <c r="J25" i="60"/>
  <c r="B25" i="60"/>
  <c r="Z24" i="60"/>
  <c r="X24" i="60"/>
  <c r="V24" i="60"/>
  <c r="N24" i="60"/>
  <c r="L24" i="60"/>
  <c r="J24" i="60"/>
  <c r="B24" i="60"/>
  <c r="Z23" i="60"/>
  <c r="X23" i="60"/>
  <c r="V23" i="60"/>
  <c r="N23" i="60"/>
  <c r="L23" i="60"/>
  <c r="B23" i="60"/>
  <c r="X22" i="60"/>
  <c r="Z22" i="60" s="1"/>
  <c r="N22" i="60"/>
  <c r="L22" i="60"/>
  <c r="B22" i="60"/>
  <c r="Z21" i="60"/>
  <c r="X21" i="60"/>
  <c r="V21" i="60"/>
  <c r="N21" i="60"/>
  <c r="L21" i="60"/>
  <c r="J21" i="60"/>
  <c r="B21" i="60"/>
  <c r="X20" i="60"/>
  <c r="Z20" i="60" s="1"/>
  <c r="V20" i="60"/>
  <c r="L20" i="60"/>
  <c r="N20" i="60" s="1"/>
  <c r="F20" i="60"/>
  <c r="B20" i="60"/>
  <c r="Z19" i="60"/>
  <c r="X19" i="60"/>
  <c r="V19" i="60"/>
  <c r="T19" i="60"/>
  <c r="P19" i="60"/>
  <c r="J19" i="60"/>
  <c r="H19" i="60"/>
  <c r="D19" i="60"/>
  <c r="L19" i="60" s="1"/>
  <c r="N19" i="60" s="1"/>
  <c r="B19" i="60"/>
  <c r="T18" i="60" a="1"/>
  <c r="T18" i="60" s="1"/>
  <c r="P18" i="60" a="1"/>
  <c r="P18" i="60" s="1"/>
  <c r="H18" i="60" a="1"/>
  <c r="H18" i="60" s="1"/>
  <c r="D18" i="60" a="1"/>
  <c r="D18" i="60"/>
  <c r="T16" i="60"/>
  <c r="H16" i="60"/>
  <c r="D16" i="60"/>
  <c r="V14" i="60"/>
  <c r="T14" i="60"/>
  <c r="Z14" i="60" s="1"/>
  <c r="P14" i="60"/>
  <c r="X14" i="60" s="1"/>
  <c r="L14" i="60"/>
  <c r="J14" i="60"/>
  <c r="H14" i="60"/>
  <c r="N14" i="60" s="1"/>
  <c r="D14" i="60"/>
  <c r="Z12" i="60"/>
  <c r="X12" i="60"/>
  <c r="T12" i="60"/>
  <c r="V46" i="60" s="1"/>
  <c r="P12" i="60"/>
  <c r="R47" i="60" s="1"/>
  <c r="N12" i="60"/>
  <c r="H12" i="60"/>
  <c r="J48" i="60" s="1"/>
  <c r="D12" i="60"/>
  <c r="F61" i="60" s="1"/>
  <c r="D6" i="60"/>
  <c r="D4" i="60"/>
  <c r="Z69" i="59"/>
  <c r="X69" i="59"/>
  <c r="N69" i="59"/>
  <c r="L69" i="59"/>
  <c r="T65" i="59"/>
  <c r="Z65" i="59" s="1"/>
  <c r="P65" i="59"/>
  <c r="X65" i="59" s="1"/>
  <c r="H65" i="59"/>
  <c r="N65" i="59" s="1"/>
  <c r="D65" i="59"/>
  <c r="L65" i="59" s="1"/>
  <c r="X63" i="59"/>
  <c r="Z63" i="59" s="1"/>
  <c r="N63" i="59"/>
  <c r="L63" i="59"/>
  <c r="B63" i="59"/>
  <c r="Z62" i="59"/>
  <c r="X62" i="59"/>
  <c r="T62" i="59"/>
  <c r="P62" i="59"/>
  <c r="N62" i="59"/>
  <c r="H62" i="59"/>
  <c r="D62" i="59"/>
  <c r="L62" i="59" s="1"/>
  <c r="B62" i="59"/>
  <c r="Z61" i="59"/>
  <c r="X61" i="59"/>
  <c r="N61" i="59"/>
  <c r="L61" i="59"/>
  <c r="B61" i="59"/>
  <c r="Z60" i="59"/>
  <c r="T60" i="59"/>
  <c r="P60" i="59"/>
  <c r="X60" i="59" s="1"/>
  <c r="N60" i="59"/>
  <c r="H60" i="59"/>
  <c r="D60" i="59"/>
  <c r="L60" i="59" s="1"/>
  <c r="B60" i="59"/>
  <c r="X59" i="59"/>
  <c r="Z59" i="59" s="1"/>
  <c r="L59" i="59"/>
  <c r="N59" i="59" s="1"/>
  <c r="B59" i="59"/>
  <c r="Z58" i="59"/>
  <c r="X58" i="59"/>
  <c r="N58" i="59"/>
  <c r="L58" i="59"/>
  <c r="B58" i="59"/>
  <c r="X57" i="59"/>
  <c r="T57" i="59"/>
  <c r="Z57" i="59" s="1"/>
  <c r="P57" i="59"/>
  <c r="H57" i="59"/>
  <c r="N57" i="59" s="1"/>
  <c r="D57" i="59"/>
  <c r="L57" i="59" s="1"/>
  <c r="B57" i="59"/>
  <c r="Z56" i="59"/>
  <c r="X56" i="59"/>
  <c r="N56" i="59"/>
  <c r="L56" i="59"/>
  <c r="B56" i="59"/>
  <c r="T55" i="59"/>
  <c r="Z55" i="59" s="1"/>
  <c r="P55" i="59"/>
  <c r="X55" i="59" s="1"/>
  <c r="H55" i="59"/>
  <c r="D55" i="59"/>
  <c r="L55" i="59" s="1"/>
  <c r="B55" i="59"/>
  <c r="Z54" i="59"/>
  <c r="X54" i="59"/>
  <c r="N54" i="59"/>
  <c r="L54" i="59"/>
  <c r="B54" i="59"/>
  <c r="Z53" i="59"/>
  <c r="X53" i="59"/>
  <c r="N53" i="59"/>
  <c r="L53" i="59"/>
  <c r="B53" i="59"/>
  <c r="T52" i="59"/>
  <c r="X52" i="59" s="1"/>
  <c r="Z52" i="59" s="1"/>
  <c r="P52" i="59"/>
  <c r="N52" i="59"/>
  <c r="L52" i="59"/>
  <c r="H52" i="59"/>
  <c r="D52" i="59"/>
  <c r="B52" i="59"/>
  <c r="Z51" i="59"/>
  <c r="X51" i="59"/>
  <c r="N51" i="59"/>
  <c r="L51" i="59"/>
  <c r="F51" i="59"/>
  <c r="B51" i="59"/>
  <c r="Z50" i="59"/>
  <c r="X50" i="59"/>
  <c r="N50" i="59"/>
  <c r="L50" i="59"/>
  <c r="B50" i="59"/>
  <c r="Z49" i="59"/>
  <c r="X49" i="59"/>
  <c r="N49" i="59"/>
  <c r="L49" i="59"/>
  <c r="B49" i="59"/>
  <c r="Z48" i="59"/>
  <c r="X48" i="59"/>
  <c r="N48" i="59"/>
  <c r="L48" i="59"/>
  <c r="B48" i="59"/>
  <c r="T47" i="59"/>
  <c r="P47" i="59"/>
  <c r="X47" i="59" s="1"/>
  <c r="H47" i="59"/>
  <c r="D47" i="59"/>
  <c r="L47" i="59" s="1"/>
  <c r="B47" i="59"/>
  <c r="Z46" i="59"/>
  <c r="X46" i="59"/>
  <c r="N46" i="59"/>
  <c r="L46" i="59"/>
  <c r="B46" i="59"/>
  <c r="T45" i="59"/>
  <c r="Z45" i="59" s="1"/>
  <c r="P45" i="59"/>
  <c r="X45" i="59" s="1"/>
  <c r="L45" i="59"/>
  <c r="H45" i="59"/>
  <c r="N45" i="59" s="1"/>
  <c r="D45" i="59"/>
  <c r="B45" i="59"/>
  <c r="Z44" i="59"/>
  <c r="X44" i="59"/>
  <c r="N44" i="59"/>
  <c r="L44" i="59"/>
  <c r="B44" i="59"/>
  <c r="X43" i="59"/>
  <c r="Z43" i="59" s="1"/>
  <c r="L43" i="59"/>
  <c r="N43" i="59" s="1"/>
  <c r="F43" i="59"/>
  <c r="B43" i="59"/>
  <c r="Z42" i="59"/>
  <c r="X42" i="59"/>
  <c r="T42" i="59"/>
  <c r="P42" i="59"/>
  <c r="H42" i="59"/>
  <c r="D42" i="59"/>
  <c r="L42" i="59" s="1"/>
  <c r="N42" i="59" s="1"/>
  <c r="B42" i="59"/>
  <c r="Z41" i="59"/>
  <c r="X41" i="59"/>
  <c r="N41" i="59"/>
  <c r="L41" i="59"/>
  <c r="B41" i="59"/>
  <c r="Z40" i="59"/>
  <c r="T40" i="59"/>
  <c r="P40" i="59"/>
  <c r="X40" i="59" s="1"/>
  <c r="N40" i="59"/>
  <c r="H40" i="59"/>
  <c r="F40" i="59"/>
  <c r="D40" i="59"/>
  <c r="L40" i="59" s="1"/>
  <c r="B40" i="59"/>
  <c r="Z39" i="59"/>
  <c r="X39" i="59"/>
  <c r="N39" i="59"/>
  <c r="L39" i="59"/>
  <c r="B39" i="59"/>
  <c r="Z38" i="59"/>
  <c r="X38" i="59"/>
  <c r="V38" i="59"/>
  <c r="N38" i="59"/>
  <c r="L38" i="59"/>
  <c r="B38" i="59"/>
  <c r="Z37" i="59"/>
  <c r="X37" i="59"/>
  <c r="N37" i="59"/>
  <c r="L37" i="59"/>
  <c r="B37" i="59"/>
  <c r="Z36" i="59"/>
  <c r="X36" i="59"/>
  <c r="V36" i="59"/>
  <c r="N36" i="59"/>
  <c r="L36" i="59"/>
  <c r="B36" i="59"/>
  <c r="Z35" i="59"/>
  <c r="X35" i="59"/>
  <c r="N35" i="59"/>
  <c r="L35" i="59"/>
  <c r="F35" i="59"/>
  <c r="B35" i="59"/>
  <c r="Z34" i="59"/>
  <c r="X34" i="59"/>
  <c r="N34" i="59"/>
  <c r="L34" i="59"/>
  <c r="B34" i="59"/>
  <c r="Z33" i="59"/>
  <c r="X33" i="59"/>
  <c r="L33" i="59"/>
  <c r="N33" i="59" s="1"/>
  <c r="F33" i="59"/>
  <c r="B33" i="59"/>
  <c r="Z32" i="59"/>
  <c r="X32" i="59"/>
  <c r="N32" i="59"/>
  <c r="L32" i="59"/>
  <c r="B32" i="59"/>
  <c r="X31" i="59"/>
  <c r="Z31" i="59" s="1"/>
  <c r="R31" i="59"/>
  <c r="L31" i="59"/>
  <c r="N31" i="59" s="1"/>
  <c r="B31" i="59"/>
  <c r="Z30" i="59"/>
  <c r="X30" i="59"/>
  <c r="V30" i="59"/>
  <c r="N30" i="59"/>
  <c r="L30" i="59"/>
  <c r="B30" i="59"/>
  <c r="X29" i="59"/>
  <c r="T29" i="59"/>
  <c r="Z29" i="59" s="1"/>
  <c r="P29" i="59"/>
  <c r="H29" i="59"/>
  <c r="N29" i="59" s="1"/>
  <c r="D29" i="59"/>
  <c r="L29" i="59" s="1"/>
  <c r="B29" i="59"/>
  <c r="Z28" i="59"/>
  <c r="X28" i="59"/>
  <c r="N28" i="59"/>
  <c r="L28" i="59"/>
  <c r="B28" i="59"/>
  <c r="X27" i="59"/>
  <c r="Z27" i="59" s="1"/>
  <c r="R27" i="59"/>
  <c r="L27" i="59"/>
  <c r="N27" i="59" s="1"/>
  <c r="B27" i="59"/>
  <c r="Z26" i="59"/>
  <c r="X26" i="59"/>
  <c r="V26" i="59"/>
  <c r="N26" i="59"/>
  <c r="L26" i="59"/>
  <c r="B26" i="59"/>
  <c r="Z25" i="59"/>
  <c r="X25" i="59"/>
  <c r="N25" i="59"/>
  <c r="L25" i="59"/>
  <c r="F25" i="59"/>
  <c r="B25" i="59"/>
  <c r="Z24" i="59"/>
  <c r="X24" i="59"/>
  <c r="V24" i="59"/>
  <c r="N24" i="59"/>
  <c r="L24" i="59"/>
  <c r="B24" i="59"/>
  <c r="X23" i="59"/>
  <c r="Z23" i="59" s="1"/>
  <c r="L23" i="59"/>
  <c r="N23" i="59" s="1"/>
  <c r="F23" i="59"/>
  <c r="B23" i="59"/>
  <c r="Z22" i="59"/>
  <c r="X22" i="59"/>
  <c r="N22" i="59"/>
  <c r="L22" i="59"/>
  <c r="B22" i="59"/>
  <c r="Z21" i="59"/>
  <c r="X21" i="59"/>
  <c r="L21" i="59"/>
  <c r="N21" i="59" s="1"/>
  <c r="F21" i="59"/>
  <c r="B21" i="59"/>
  <c r="Z20" i="59"/>
  <c r="X20" i="59"/>
  <c r="V20" i="59"/>
  <c r="N20" i="59"/>
  <c r="L20" i="59"/>
  <c r="F20" i="59"/>
  <c r="B20" i="59"/>
  <c r="T19" i="59"/>
  <c r="P19" i="59"/>
  <c r="X19" i="59" s="1"/>
  <c r="H19" i="59"/>
  <c r="D19" i="59"/>
  <c r="L19" i="59" s="1"/>
  <c r="B19" i="59"/>
  <c r="T18" i="59" a="1"/>
  <c r="T18" i="59"/>
  <c r="P18" i="59" a="1"/>
  <c r="P18" i="59" s="1"/>
  <c r="H18" i="59" a="1"/>
  <c r="H18" i="59" s="1"/>
  <c r="D18" i="59" a="1"/>
  <c r="D18" i="59" s="1"/>
  <c r="L18" i="59" s="1"/>
  <c r="Z16" i="59"/>
  <c r="T16" i="59"/>
  <c r="F16" i="59"/>
  <c r="D16" i="59"/>
  <c r="Z14" i="59"/>
  <c r="V14" i="59"/>
  <c r="T14" i="59"/>
  <c r="R14" i="59"/>
  <c r="P14" i="59"/>
  <c r="X14" i="59" s="1"/>
  <c r="N14" i="59"/>
  <c r="L14" i="59"/>
  <c r="H14" i="59"/>
  <c r="F14" i="59"/>
  <c r="D14" i="59"/>
  <c r="Z12" i="59"/>
  <c r="T12" i="59"/>
  <c r="V61" i="59" s="1"/>
  <c r="P12" i="59"/>
  <c r="R71" i="59" s="1"/>
  <c r="H12" i="59"/>
  <c r="J74" i="59" s="1"/>
  <c r="D12" i="59"/>
  <c r="F57" i="59" s="1"/>
  <c r="D6" i="59"/>
  <c r="D4" i="59"/>
  <c r="Z79" i="58"/>
  <c r="X79" i="58"/>
  <c r="N79" i="58"/>
  <c r="L79" i="58"/>
  <c r="Z75" i="58"/>
  <c r="T75" i="58"/>
  <c r="P75" i="58"/>
  <c r="X75" i="58" s="1"/>
  <c r="N75" i="58"/>
  <c r="H75" i="58"/>
  <c r="D75" i="58"/>
  <c r="L75" i="58" s="1"/>
  <c r="X73" i="58"/>
  <c r="Z73" i="58" s="1"/>
  <c r="N73" i="58"/>
  <c r="L73" i="58"/>
  <c r="B73" i="58"/>
  <c r="T72" i="58"/>
  <c r="Z72" i="58" s="1"/>
  <c r="P72" i="58"/>
  <c r="X72" i="58" s="1"/>
  <c r="H72" i="58"/>
  <c r="N72" i="58" s="1"/>
  <c r="D72" i="58"/>
  <c r="L72" i="58" s="1"/>
  <c r="B72" i="58"/>
  <c r="Z71" i="58"/>
  <c r="X71" i="58"/>
  <c r="N71" i="58"/>
  <c r="L71" i="58"/>
  <c r="B71" i="58"/>
  <c r="T70" i="58"/>
  <c r="P70" i="58"/>
  <c r="X70" i="58" s="1"/>
  <c r="L70" i="58"/>
  <c r="H70" i="58"/>
  <c r="N70" i="58" s="1"/>
  <c r="D70" i="58"/>
  <c r="B70" i="58"/>
  <c r="Z69" i="58"/>
  <c r="X69" i="58"/>
  <c r="L69" i="58"/>
  <c r="N69" i="58" s="1"/>
  <c r="B69" i="58"/>
  <c r="X68" i="58"/>
  <c r="T68" i="58"/>
  <c r="Z68" i="58" s="1"/>
  <c r="P68" i="58"/>
  <c r="L68" i="58"/>
  <c r="H68" i="58"/>
  <c r="N68" i="58" s="1"/>
  <c r="D68" i="58"/>
  <c r="B68" i="58"/>
  <c r="Z67" i="58"/>
  <c r="X67" i="58"/>
  <c r="N67" i="58"/>
  <c r="L67" i="58"/>
  <c r="B67" i="58"/>
  <c r="X66" i="58"/>
  <c r="Z66" i="58" s="1"/>
  <c r="N66" i="58"/>
  <c r="L66" i="58"/>
  <c r="B66" i="58"/>
  <c r="Z65" i="58"/>
  <c r="X65" i="58"/>
  <c r="L65" i="58"/>
  <c r="N65" i="58" s="1"/>
  <c r="B65" i="58"/>
  <c r="Z64" i="58"/>
  <c r="X64" i="58"/>
  <c r="N64" i="58"/>
  <c r="L64" i="58"/>
  <c r="B64" i="58"/>
  <c r="T63" i="58"/>
  <c r="P63" i="58"/>
  <c r="X63" i="58" s="1"/>
  <c r="Z63" i="58" s="1"/>
  <c r="H63" i="58"/>
  <c r="D63" i="58"/>
  <c r="L63" i="58" s="1"/>
  <c r="N63" i="58" s="1"/>
  <c r="B63" i="58"/>
  <c r="Z62" i="58"/>
  <c r="X62" i="58"/>
  <c r="N62" i="58"/>
  <c r="L62" i="58"/>
  <c r="B62" i="58"/>
  <c r="Z61" i="58"/>
  <c r="X61" i="58"/>
  <c r="N61" i="58"/>
  <c r="L61" i="58"/>
  <c r="B61" i="58"/>
  <c r="X60" i="58"/>
  <c r="T60" i="58"/>
  <c r="Z60" i="58" s="1"/>
  <c r="P60" i="58"/>
  <c r="L60" i="58"/>
  <c r="H60" i="58"/>
  <c r="N60" i="58" s="1"/>
  <c r="D60" i="58"/>
  <c r="B60" i="58"/>
  <c r="Z59" i="58"/>
  <c r="X59" i="58"/>
  <c r="V59" i="58"/>
  <c r="N59" i="58"/>
  <c r="L59" i="58"/>
  <c r="B59" i="58"/>
  <c r="X58" i="58"/>
  <c r="Z58" i="58" s="1"/>
  <c r="L58" i="58"/>
  <c r="N58" i="58" s="1"/>
  <c r="B58" i="58"/>
  <c r="T57" i="58"/>
  <c r="P57" i="58"/>
  <c r="X57" i="58" s="1"/>
  <c r="Z57" i="58" s="1"/>
  <c r="N57" i="58"/>
  <c r="L57" i="58"/>
  <c r="H57" i="58"/>
  <c r="D57" i="58"/>
  <c r="B57" i="58"/>
  <c r="Z56" i="58"/>
  <c r="X56" i="58"/>
  <c r="L56" i="58"/>
  <c r="N56" i="58" s="1"/>
  <c r="B56" i="58"/>
  <c r="Z55" i="58"/>
  <c r="X55" i="58"/>
  <c r="V55" i="58"/>
  <c r="N55" i="58"/>
  <c r="L55" i="58"/>
  <c r="B55" i="58"/>
  <c r="Z54" i="58"/>
  <c r="X54" i="58"/>
  <c r="N54" i="58"/>
  <c r="L54" i="58"/>
  <c r="B54" i="58"/>
  <c r="T53" i="58"/>
  <c r="P53" i="58"/>
  <c r="X53" i="58" s="1"/>
  <c r="Z53" i="58" s="1"/>
  <c r="N53" i="58"/>
  <c r="L53" i="58"/>
  <c r="H53" i="58"/>
  <c r="D53" i="58"/>
  <c r="B53" i="58"/>
  <c r="Z52" i="58"/>
  <c r="X52" i="58"/>
  <c r="L52" i="58"/>
  <c r="N52" i="58" s="1"/>
  <c r="B52" i="58"/>
  <c r="Z51" i="58"/>
  <c r="X51" i="58"/>
  <c r="V51" i="58"/>
  <c r="T51" i="58"/>
  <c r="P51" i="58"/>
  <c r="L51" i="58"/>
  <c r="H51" i="58"/>
  <c r="N51" i="58" s="1"/>
  <c r="F51" i="58"/>
  <c r="D51" i="58"/>
  <c r="B51" i="58"/>
  <c r="Z50" i="58"/>
  <c r="X50" i="58"/>
  <c r="N50" i="58"/>
  <c r="L50" i="58"/>
  <c r="B50" i="58"/>
  <c r="X49" i="58"/>
  <c r="T49" i="58"/>
  <c r="Z49" i="58" s="1"/>
  <c r="P49" i="58"/>
  <c r="N49" i="58"/>
  <c r="H49" i="58"/>
  <c r="D49" i="58"/>
  <c r="L49" i="58" s="1"/>
  <c r="B49" i="58"/>
  <c r="X48" i="58"/>
  <c r="Z48" i="58" s="1"/>
  <c r="N48" i="58"/>
  <c r="L48" i="58"/>
  <c r="F48" i="58"/>
  <c r="B48" i="58"/>
  <c r="T47" i="58"/>
  <c r="P47" i="58"/>
  <c r="X47" i="58" s="1"/>
  <c r="Z47" i="58" s="1"/>
  <c r="H47" i="58"/>
  <c r="D47" i="58"/>
  <c r="L47" i="58" s="1"/>
  <c r="N47" i="58" s="1"/>
  <c r="B47" i="58"/>
  <c r="X46" i="58"/>
  <c r="Z46" i="58" s="1"/>
  <c r="N46" i="58"/>
  <c r="L46" i="58"/>
  <c r="B46" i="58"/>
  <c r="T45" i="58"/>
  <c r="P45" i="58"/>
  <c r="X45" i="58" s="1"/>
  <c r="Z45" i="58" s="1"/>
  <c r="N45" i="58"/>
  <c r="L45" i="58"/>
  <c r="H45" i="58"/>
  <c r="D45" i="58"/>
  <c r="B45" i="58"/>
  <c r="Z44" i="58"/>
  <c r="X44" i="58"/>
  <c r="L44" i="58"/>
  <c r="N44" i="58" s="1"/>
  <c r="B44" i="58"/>
  <c r="Z43" i="58"/>
  <c r="X43" i="58"/>
  <c r="V43" i="58"/>
  <c r="T43" i="58"/>
  <c r="P43" i="58"/>
  <c r="L43" i="58"/>
  <c r="H43" i="58"/>
  <c r="N43" i="58" s="1"/>
  <c r="F43" i="58"/>
  <c r="D43" i="58"/>
  <c r="B43" i="58"/>
  <c r="Z42" i="58"/>
  <c r="X42" i="58"/>
  <c r="L42" i="58"/>
  <c r="N42" i="58" s="1"/>
  <c r="B42" i="58"/>
  <c r="X41" i="58"/>
  <c r="T41" i="58"/>
  <c r="Z41" i="58" s="1"/>
  <c r="P41" i="58"/>
  <c r="H41" i="58"/>
  <c r="L41" i="58" s="1"/>
  <c r="N41" i="58" s="1"/>
  <c r="D41" i="58"/>
  <c r="B41" i="58"/>
  <c r="Z40" i="58"/>
  <c r="X40" i="58"/>
  <c r="N40" i="58"/>
  <c r="L40" i="58"/>
  <c r="F40" i="58"/>
  <c r="B40" i="58"/>
  <c r="Z39" i="58"/>
  <c r="X39" i="58"/>
  <c r="N39" i="58"/>
  <c r="L39" i="58"/>
  <c r="B39" i="58"/>
  <c r="Z38" i="58"/>
  <c r="X38" i="58"/>
  <c r="N38" i="58"/>
  <c r="L38" i="58"/>
  <c r="B38" i="58"/>
  <c r="Z37" i="58"/>
  <c r="X37" i="58"/>
  <c r="N37" i="58"/>
  <c r="L37" i="58"/>
  <c r="B37" i="58"/>
  <c r="Z36" i="58"/>
  <c r="X36" i="58"/>
  <c r="N36" i="58"/>
  <c r="L36" i="58"/>
  <c r="B36" i="58"/>
  <c r="X35" i="58"/>
  <c r="Z35" i="58" s="1"/>
  <c r="V35" i="58"/>
  <c r="N35" i="58"/>
  <c r="L35" i="58"/>
  <c r="B35" i="58"/>
  <c r="X34" i="58"/>
  <c r="Z34" i="58" s="1"/>
  <c r="N34" i="58"/>
  <c r="L34" i="58"/>
  <c r="B34" i="58"/>
  <c r="Z33" i="58"/>
  <c r="X33" i="58"/>
  <c r="N33" i="58"/>
  <c r="L33" i="58"/>
  <c r="B33" i="58"/>
  <c r="Z32" i="58"/>
  <c r="X32" i="58"/>
  <c r="N32" i="58"/>
  <c r="L32" i="58"/>
  <c r="F32" i="58"/>
  <c r="B32" i="58"/>
  <c r="Z31" i="58"/>
  <c r="X31" i="58"/>
  <c r="N31" i="58"/>
  <c r="L31" i="58"/>
  <c r="J31" i="58"/>
  <c r="B31" i="58"/>
  <c r="T30" i="58"/>
  <c r="P30" i="58"/>
  <c r="X30" i="58" s="1"/>
  <c r="L30" i="58"/>
  <c r="H30" i="58"/>
  <c r="N30" i="58" s="1"/>
  <c r="D30" i="58"/>
  <c r="B30" i="58"/>
  <c r="Z29" i="58"/>
  <c r="X29" i="58"/>
  <c r="L29" i="58"/>
  <c r="N29" i="58" s="1"/>
  <c r="B29" i="58"/>
  <c r="X28" i="58"/>
  <c r="Z28" i="58" s="1"/>
  <c r="N28" i="58"/>
  <c r="L28" i="58"/>
  <c r="F28" i="58"/>
  <c r="B28" i="58"/>
  <c r="Z27" i="58"/>
  <c r="X27" i="58"/>
  <c r="N27" i="58"/>
  <c r="L27" i="58"/>
  <c r="J27" i="58"/>
  <c r="B27" i="58"/>
  <c r="Z26" i="58"/>
  <c r="X26" i="58"/>
  <c r="N26" i="58"/>
  <c r="L26" i="58"/>
  <c r="B26" i="58"/>
  <c r="X25" i="58"/>
  <c r="Z25" i="58" s="1"/>
  <c r="N25" i="58"/>
  <c r="L25" i="58"/>
  <c r="B25" i="58"/>
  <c r="Z24" i="58"/>
  <c r="X24" i="58"/>
  <c r="R24" i="58"/>
  <c r="L24" i="58"/>
  <c r="N24" i="58" s="1"/>
  <c r="B24" i="58"/>
  <c r="Z23" i="58"/>
  <c r="X23" i="58"/>
  <c r="V23" i="58"/>
  <c r="N23" i="58"/>
  <c r="L23" i="58"/>
  <c r="B23" i="58"/>
  <c r="X22" i="58"/>
  <c r="Z22" i="58" s="1"/>
  <c r="N22" i="58"/>
  <c r="L22" i="58"/>
  <c r="B22" i="58"/>
  <c r="Z21" i="58"/>
  <c r="X21" i="58"/>
  <c r="V21" i="58"/>
  <c r="L21" i="58"/>
  <c r="N21" i="58" s="1"/>
  <c r="B21" i="58"/>
  <c r="X20" i="58"/>
  <c r="Z20" i="58" s="1"/>
  <c r="N20" i="58"/>
  <c r="L20" i="58"/>
  <c r="F20" i="58"/>
  <c r="B20" i="58"/>
  <c r="T19" i="58"/>
  <c r="P19" i="58"/>
  <c r="X19" i="58" s="1"/>
  <c r="Z19" i="58" s="1"/>
  <c r="H19" i="58"/>
  <c r="D19" i="58"/>
  <c r="L19" i="58" s="1"/>
  <c r="N19" i="58" s="1"/>
  <c r="B19" i="58"/>
  <c r="T18" i="58" a="1"/>
  <c r="T18" i="58" s="1"/>
  <c r="P18" i="58" a="1"/>
  <c r="P18" i="58" s="1"/>
  <c r="H18" i="58" a="1"/>
  <c r="H18" i="58" s="1"/>
  <c r="D18" i="58" a="1"/>
  <c r="D18" i="58" s="1"/>
  <c r="L18" i="58" s="1"/>
  <c r="T16" i="58"/>
  <c r="H16" i="58"/>
  <c r="D16" i="58"/>
  <c r="L16" i="58" s="1"/>
  <c r="V14" i="58"/>
  <c r="T14" i="58"/>
  <c r="Z14" i="58" s="1"/>
  <c r="P14" i="58"/>
  <c r="X14" i="58" s="1"/>
  <c r="L14" i="58"/>
  <c r="H14" i="58"/>
  <c r="N14" i="58" s="1"/>
  <c r="F14" i="58"/>
  <c r="D14" i="58"/>
  <c r="Z12" i="58"/>
  <c r="X12" i="58"/>
  <c r="T12" i="58"/>
  <c r="V66" i="58" s="1"/>
  <c r="P12" i="58"/>
  <c r="R72" i="58" s="1"/>
  <c r="H12" i="58"/>
  <c r="J68" i="58" s="1"/>
  <c r="D12" i="58"/>
  <c r="F71" i="58" s="1"/>
  <c r="D6" i="58"/>
  <c r="D4" i="58"/>
  <c r="Z70" i="57"/>
  <c r="X70" i="57"/>
  <c r="N70" i="57"/>
  <c r="L70" i="57"/>
  <c r="T66" i="57"/>
  <c r="Z66" i="57" s="1"/>
  <c r="P66" i="57"/>
  <c r="X66" i="57" s="1"/>
  <c r="H66" i="57"/>
  <c r="N66" i="57" s="1"/>
  <c r="D66" i="57"/>
  <c r="L66" i="57" s="1"/>
  <c r="Z64" i="57"/>
  <c r="X64" i="57"/>
  <c r="N64" i="57"/>
  <c r="L64" i="57"/>
  <c r="B64" i="57"/>
  <c r="Z63" i="57"/>
  <c r="T63" i="57"/>
  <c r="P63" i="57"/>
  <c r="X63" i="57" s="1"/>
  <c r="N63" i="57"/>
  <c r="H63" i="57"/>
  <c r="D63" i="57"/>
  <c r="L63" i="57" s="1"/>
  <c r="B63" i="57"/>
  <c r="X62" i="57"/>
  <c r="Z62" i="57" s="1"/>
  <c r="N62" i="57"/>
  <c r="L62" i="57"/>
  <c r="B62" i="57"/>
  <c r="T61" i="57"/>
  <c r="P61" i="57"/>
  <c r="X61" i="57" s="1"/>
  <c r="Z61" i="57" s="1"/>
  <c r="H61" i="57"/>
  <c r="N61" i="57" s="1"/>
  <c r="D61" i="57"/>
  <c r="L61" i="57" s="1"/>
  <c r="B61" i="57"/>
  <c r="Z60" i="57"/>
  <c r="X60" i="57"/>
  <c r="L60" i="57"/>
  <c r="N60" i="57" s="1"/>
  <c r="B60" i="57"/>
  <c r="T59" i="57"/>
  <c r="P59" i="57"/>
  <c r="X59" i="57" s="1"/>
  <c r="L59" i="57"/>
  <c r="N59" i="57" s="1"/>
  <c r="H59" i="57"/>
  <c r="D59" i="57"/>
  <c r="B59" i="57"/>
  <c r="X58" i="57"/>
  <c r="Z58" i="57" s="1"/>
  <c r="L58" i="57"/>
  <c r="N58" i="57" s="1"/>
  <c r="B58" i="57"/>
  <c r="Z57" i="57"/>
  <c r="X57" i="57"/>
  <c r="N57" i="57"/>
  <c r="L57" i="57"/>
  <c r="B57" i="57"/>
  <c r="T56" i="57"/>
  <c r="Z56" i="57" s="1"/>
  <c r="P56" i="57"/>
  <c r="X56" i="57" s="1"/>
  <c r="H56" i="57"/>
  <c r="D56" i="57"/>
  <c r="L56" i="57" s="1"/>
  <c r="B56" i="57"/>
  <c r="Z55" i="57"/>
  <c r="X55" i="57"/>
  <c r="N55" i="57"/>
  <c r="L55" i="57"/>
  <c r="B55" i="57"/>
  <c r="T54" i="57"/>
  <c r="P54" i="57"/>
  <c r="X54" i="57" s="1"/>
  <c r="L54" i="57"/>
  <c r="H54" i="57"/>
  <c r="N54" i="57" s="1"/>
  <c r="D54" i="57"/>
  <c r="B54" i="57"/>
  <c r="Z53" i="57"/>
  <c r="X53" i="57"/>
  <c r="L53" i="57"/>
  <c r="N53" i="57" s="1"/>
  <c r="B53" i="57"/>
  <c r="X52" i="57"/>
  <c r="Z52" i="57" s="1"/>
  <c r="N52" i="57"/>
  <c r="L52" i="57"/>
  <c r="B52" i="57"/>
  <c r="Z51" i="57"/>
  <c r="X51" i="57"/>
  <c r="N51" i="57"/>
  <c r="L51" i="57"/>
  <c r="B51" i="57"/>
  <c r="T50" i="57"/>
  <c r="P50" i="57"/>
  <c r="X50" i="57" s="1"/>
  <c r="L50" i="57"/>
  <c r="H50" i="57"/>
  <c r="N50" i="57" s="1"/>
  <c r="D50" i="57"/>
  <c r="B50" i="57"/>
  <c r="Z49" i="57"/>
  <c r="X49" i="57"/>
  <c r="L49" i="57"/>
  <c r="N49" i="57" s="1"/>
  <c r="B49" i="57"/>
  <c r="X48" i="57"/>
  <c r="T48" i="57"/>
  <c r="Z48" i="57" s="1"/>
  <c r="P48" i="57"/>
  <c r="L48" i="57"/>
  <c r="H48" i="57"/>
  <c r="N48" i="57" s="1"/>
  <c r="D48" i="57"/>
  <c r="B48" i="57"/>
  <c r="Z47" i="57"/>
  <c r="X47" i="57"/>
  <c r="N47" i="57"/>
  <c r="L47" i="57"/>
  <c r="B47" i="57"/>
  <c r="X46" i="57"/>
  <c r="T46" i="57"/>
  <c r="Z46" i="57" s="1"/>
  <c r="P46" i="57"/>
  <c r="H46" i="57"/>
  <c r="D46" i="57"/>
  <c r="L46" i="57" s="1"/>
  <c r="B46" i="57"/>
  <c r="X45" i="57"/>
  <c r="Z45" i="57" s="1"/>
  <c r="N45" i="57"/>
  <c r="L45" i="57"/>
  <c r="B45" i="57"/>
  <c r="T44" i="57"/>
  <c r="P44" i="57"/>
  <c r="X44" i="57" s="1"/>
  <c r="H44" i="57"/>
  <c r="D44" i="57"/>
  <c r="L44" i="57" s="1"/>
  <c r="B44" i="57"/>
  <c r="Z43" i="57"/>
  <c r="X43" i="57"/>
  <c r="N43" i="57"/>
  <c r="L43" i="57"/>
  <c r="J43" i="57"/>
  <c r="B43" i="57"/>
  <c r="T42" i="57"/>
  <c r="Z42" i="57" s="1"/>
  <c r="P42" i="57"/>
  <c r="X42" i="57" s="1"/>
  <c r="L42" i="57"/>
  <c r="H42" i="57"/>
  <c r="N42" i="57" s="1"/>
  <c r="D42" i="57"/>
  <c r="B42" i="57"/>
  <c r="Z41" i="57"/>
  <c r="X41" i="57"/>
  <c r="N41" i="57"/>
  <c r="L41" i="57"/>
  <c r="B41" i="57"/>
  <c r="X40" i="57"/>
  <c r="T40" i="57"/>
  <c r="Z40" i="57" s="1"/>
  <c r="P40" i="57"/>
  <c r="L40" i="57"/>
  <c r="H40" i="57"/>
  <c r="N40" i="57" s="1"/>
  <c r="D40" i="57"/>
  <c r="B40" i="57"/>
  <c r="Z39" i="57"/>
  <c r="X39" i="57"/>
  <c r="N39" i="57"/>
  <c r="L39" i="57"/>
  <c r="B39" i="57"/>
  <c r="Z38" i="57"/>
  <c r="X38" i="57"/>
  <c r="N38" i="57"/>
  <c r="L38" i="57"/>
  <c r="B38" i="57"/>
  <c r="Z37" i="57"/>
  <c r="X37" i="57"/>
  <c r="L37" i="57"/>
  <c r="N37" i="57" s="1"/>
  <c r="B37" i="57"/>
  <c r="Z36" i="57"/>
  <c r="X36" i="57"/>
  <c r="N36" i="57"/>
  <c r="L36" i="57"/>
  <c r="B36" i="57"/>
  <c r="Z35" i="57"/>
  <c r="X35" i="57"/>
  <c r="N35" i="57"/>
  <c r="L35" i="57"/>
  <c r="J35" i="57"/>
  <c r="B35" i="57"/>
  <c r="Z34" i="57"/>
  <c r="X34" i="57"/>
  <c r="N34" i="57"/>
  <c r="L34" i="57"/>
  <c r="B34" i="57"/>
  <c r="Z33" i="57"/>
  <c r="X33" i="57"/>
  <c r="N33" i="57"/>
  <c r="L33" i="57"/>
  <c r="B33" i="57"/>
  <c r="Z32" i="57"/>
  <c r="X32" i="57"/>
  <c r="R32" i="57"/>
  <c r="N32" i="57"/>
  <c r="L32" i="57"/>
  <c r="B32" i="57"/>
  <c r="Z31" i="57"/>
  <c r="X31" i="57"/>
  <c r="N31" i="57"/>
  <c r="L31" i="57"/>
  <c r="B31" i="57"/>
  <c r="X30" i="57"/>
  <c r="Z30" i="57" s="1"/>
  <c r="L30" i="57"/>
  <c r="N30" i="57" s="1"/>
  <c r="B30" i="57"/>
  <c r="T29" i="57"/>
  <c r="P29" i="57"/>
  <c r="X29" i="57" s="1"/>
  <c r="Z29" i="57" s="1"/>
  <c r="J29" i="57"/>
  <c r="H29" i="57"/>
  <c r="D29" i="57"/>
  <c r="L29" i="57" s="1"/>
  <c r="N29" i="57" s="1"/>
  <c r="B29" i="57"/>
  <c r="Z28" i="57"/>
  <c r="X28" i="57"/>
  <c r="L28" i="57"/>
  <c r="N28" i="57" s="1"/>
  <c r="B28" i="57"/>
  <c r="Z27" i="57"/>
  <c r="X27" i="57"/>
  <c r="N27" i="57"/>
  <c r="L27" i="57"/>
  <c r="B27" i="57"/>
  <c r="X26" i="57"/>
  <c r="Z26" i="57" s="1"/>
  <c r="L26" i="57"/>
  <c r="N26" i="57" s="1"/>
  <c r="B26" i="57"/>
  <c r="Z25" i="57"/>
  <c r="X25" i="57"/>
  <c r="N25" i="57"/>
  <c r="L25" i="57"/>
  <c r="B25" i="57"/>
  <c r="X24" i="57"/>
  <c r="Z24" i="57" s="1"/>
  <c r="N24" i="57"/>
  <c r="L24" i="57"/>
  <c r="F24" i="57"/>
  <c r="B24" i="57"/>
  <c r="Z23" i="57"/>
  <c r="X23" i="57"/>
  <c r="N23" i="57"/>
  <c r="L23" i="57"/>
  <c r="J23" i="57"/>
  <c r="B23" i="57"/>
  <c r="X22" i="57"/>
  <c r="Z22" i="57" s="1"/>
  <c r="L22" i="57"/>
  <c r="N22" i="57" s="1"/>
  <c r="B22" i="57"/>
  <c r="X21" i="57"/>
  <c r="Z21" i="57" s="1"/>
  <c r="N21" i="57"/>
  <c r="L21" i="57"/>
  <c r="J21" i="57"/>
  <c r="B21" i="57"/>
  <c r="Z20" i="57"/>
  <c r="X20" i="57"/>
  <c r="L20" i="57"/>
  <c r="N20" i="57" s="1"/>
  <c r="B20" i="57"/>
  <c r="T19" i="57"/>
  <c r="R19" i="57"/>
  <c r="P19" i="57"/>
  <c r="X19" i="57" s="1"/>
  <c r="Z19" i="57" s="1"/>
  <c r="L19" i="57"/>
  <c r="N19" i="57" s="1"/>
  <c r="H19" i="57"/>
  <c r="F19" i="57"/>
  <c r="D19" i="57"/>
  <c r="B19" i="57"/>
  <c r="T18" i="57" a="1"/>
  <c r="T18" i="57" s="1"/>
  <c r="R18" i="57"/>
  <c r="P18" i="57" a="1"/>
  <c r="P18" i="57"/>
  <c r="H18" i="57" a="1"/>
  <c r="H18" i="57" s="1"/>
  <c r="F18" i="57"/>
  <c r="D18" i="57" a="1"/>
  <c r="D18" i="57" s="1"/>
  <c r="L18" i="57" s="1"/>
  <c r="P16" i="57"/>
  <c r="F16" i="57"/>
  <c r="X14" i="57"/>
  <c r="T14" i="57"/>
  <c r="Z14" i="57" s="1"/>
  <c r="P14" i="57"/>
  <c r="H14" i="57"/>
  <c r="N14" i="57" s="1"/>
  <c r="F14" i="57"/>
  <c r="D14" i="57"/>
  <c r="L14" i="57" s="1"/>
  <c r="T12" i="57"/>
  <c r="T16" i="57" s="1"/>
  <c r="P12" i="57"/>
  <c r="L12" i="57"/>
  <c r="H12" i="57"/>
  <c r="D12" i="57"/>
  <c r="D6" i="57"/>
  <c r="D4" i="57"/>
  <c r="Z77" i="56"/>
  <c r="X77" i="56"/>
  <c r="N77" i="56"/>
  <c r="L77" i="56"/>
  <c r="Z73" i="56"/>
  <c r="T73" i="56"/>
  <c r="X73" i="56" s="1"/>
  <c r="P73" i="56"/>
  <c r="H73" i="56"/>
  <c r="N73" i="56" s="1"/>
  <c r="D73" i="56"/>
  <c r="L73" i="56" s="1"/>
  <c r="X71" i="56"/>
  <c r="Z71" i="56" s="1"/>
  <c r="N71" i="56"/>
  <c r="L71" i="56"/>
  <c r="B71" i="56"/>
  <c r="T70" i="56"/>
  <c r="P70" i="56"/>
  <c r="N70" i="56"/>
  <c r="H70" i="56"/>
  <c r="D70" i="56"/>
  <c r="L70" i="56" s="1"/>
  <c r="B70" i="56"/>
  <c r="X69" i="56"/>
  <c r="Z69" i="56" s="1"/>
  <c r="N69" i="56"/>
  <c r="L69" i="56"/>
  <c r="B69" i="56"/>
  <c r="T68" i="56"/>
  <c r="P68" i="56"/>
  <c r="N68" i="56"/>
  <c r="H68" i="56"/>
  <c r="D68" i="56"/>
  <c r="L68" i="56" s="1"/>
  <c r="B68" i="56"/>
  <c r="X67" i="56"/>
  <c r="Z67" i="56" s="1"/>
  <c r="L67" i="56"/>
  <c r="N67" i="56" s="1"/>
  <c r="B67" i="56"/>
  <c r="T66" i="56"/>
  <c r="P66" i="56"/>
  <c r="X66" i="56" s="1"/>
  <c r="Z66" i="56" s="1"/>
  <c r="H66" i="56"/>
  <c r="D66" i="56"/>
  <c r="L66" i="56" s="1"/>
  <c r="N66" i="56" s="1"/>
  <c r="B66" i="56"/>
  <c r="Z65" i="56"/>
  <c r="X65" i="56"/>
  <c r="N65" i="56"/>
  <c r="L65" i="56"/>
  <c r="B65" i="56"/>
  <c r="Z64" i="56"/>
  <c r="X64" i="56"/>
  <c r="L64" i="56"/>
  <c r="N64" i="56" s="1"/>
  <c r="B64" i="56"/>
  <c r="T63" i="56"/>
  <c r="P63" i="56"/>
  <c r="X63" i="56" s="1"/>
  <c r="Z63" i="56" s="1"/>
  <c r="N63" i="56"/>
  <c r="L63" i="56"/>
  <c r="H63" i="56"/>
  <c r="D63" i="56"/>
  <c r="B63" i="56"/>
  <c r="X62" i="56"/>
  <c r="Z62" i="56" s="1"/>
  <c r="N62" i="56"/>
  <c r="L62" i="56"/>
  <c r="B62" i="56"/>
  <c r="Z61" i="56"/>
  <c r="X61" i="56"/>
  <c r="T61" i="56"/>
  <c r="P61" i="56"/>
  <c r="H61" i="56"/>
  <c r="D61" i="56"/>
  <c r="B61" i="56"/>
  <c r="Z60" i="56"/>
  <c r="X60" i="56"/>
  <c r="N60" i="56"/>
  <c r="L60" i="56"/>
  <c r="B60" i="56"/>
  <c r="Z59" i="56"/>
  <c r="X59" i="56"/>
  <c r="L59" i="56"/>
  <c r="N59" i="56" s="1"/>
  <c r="B59" i="56"/>
  <c r="X58" i="56"/>
  <c r="Z58" i="56" s="1"/>
  <c r="T58" i="56"/>
  <c r="P58" i="56"/>
  <c r="H58" i="56"/>
  <c r="D58" i="56"/>
  <c r="B58" i="56"/>
  <c r="X57" i="56"/>
  <c r="Z57" i="56" s="1"/>
  <c r="N57" i="56"/>
  <c r="L57" i="56"/>
  <c r="B57" i="56"/>
  <c r="X56" i="56"/>
  <c r="Z56" i="56" s="1"/>
  <c r="N56" i="56"/>
  <c r="L56" i="56"/>
  <c r="B56" i="56"/>
  <c r="Z55" i="56"/>
  <c r="X55" i="56"/>
  <c r="N55" i="56"/>
  <c r="L55" i="56"/>
  <c r="B55" i="56"/>
  <c r="X54" i="56"/>
  <c r="Z54" i="56" s="1"/>
  <c r="T54" i="56"/>
  <c r="P54" i="56"/>
  <c r="H54" i="56"/>
  <c r="N54" i="56" s="1"/>
  <c r="D54" i="56"/>
  <c r="B54" i="56"/>
  <c r="X53" i="56"/>
  <c r="Z53" i="56" s="1"/>
  <c r="N53" i="56"/>
  <c r="L53" i="56"/>
  <c r="B53" i="56"/>
  <c r="T52" i="56"/>
  <c r="P52" i="56"/>
  <c r="H52" i="56"/>
  <c r="D52" i="56"/>
  <c r="L52" i="56" s="1"/>
  <c r="B52" i="56"/>
  <c r="X51" i="56"/>
  <c r="Z51" i="56" s="1"/>
  <c r="N51" i="56"/>
  <c r="L51" i="56"/>
  <c r="B51" i="56"/>
  <c r="T50" i="56"/>
  <c r="P50" i="56"/>
  <c r="X50" i="56" s="1"/>
  <c r="H50" i="56"/>
  <c r="D50" i="56"/>
  <c r="L50" i="56" s="1"/>
  <c r="N50" i="56" s="1"/>
  <c r="B50" i="56"/>
  <c r="Z49" i="56"/>
  <c r="X49" i="56"/>
  <c r="N49" i="56"/>
  <c r="L49" i="56"/>
  <c r="B49" i="56"/>
  <c r="T48" i="56"/>
  <c r="P48" i="56"/>
  <c r="X48" i="56" s="1"/>
  <c r="Z48" i="56" s="1"/>
  <c r="L48" i="56"/>
  <c r="N48" i="56" s="1"/>
  <c r="H48" i="56"/>
  <c r="D48" i="56"/>
  <c r="B48" i="56"/>
  <c r="Z47" i="56"/>
  <c r="X47" i="56"/>
  <c r="V47" i="56"/>
  <c r="N47" i="56"/>
  <c r="L47" i="56"/>
  <c r="B47" i="56"/>
  <c r="X46" i="56"/>
  <c r="Z46" i="56" s="1"/>
  <c r="T46" i="56"/>
  <c r="P46" i="56"/>
  <c r="H46" i="56"/>
  <c r="N46" i="56" s="1"/>
  <c r="D46" i="56"/>
  <c r="B46" i="56"/>
  <c r="X45" i="56"/>
  <c r="Z45" i="56" s="1"/>
  <c r="N45" i="56"/>
  <c r="L45" i="56"/>
  <c r="B45" i="56"/>
  <c r="T44" i="56"/>
  <c r="P44" i="56"/>
  <c r="H44" i="56"/>
  <c r="N44" i="56" s="1"/>
  <c r="D44" i="56"/>
  <c r="L44" i="56" s="1"/>
  <c r="B44" i="56"/>
  <c r="X43" i="56"/>
  <c r="Z43" i="56" s="1"/>
  <c r="N43" i="56"/>
  <c r="L43" i="56"/>
  <c r="B43" i="56"/>
  <c r="T42" i="56"/>
  <c r="P42" i="56"/>
  <c r="X42" i="56" s="1"/>
  <c r="H42" i="56"/>
  <c r="D42" i="56"/>
  <c r="L42" i="56" s="1"/>
  <c r="N42" i="56" s="1"/>
  <c r="B42" i="56"/>
  <c r="Z41" i="56"/>
  <c r="X41" i="56"/>
  <c r="N41" i="56"/>
  <c r="L41" i="56"/>
  <c r="B41" i="56"/>
  <c r="T40" i="56"/>
  <c r="P40" i="56"/>
  <c r="X40" i="56" s="1"/>
  <c r="Z40" i="56" s="1"/>
  <c r="L40" i="56"/>
  <c r="H40" i="56"/>
  <c r="N40" i="56" s="1"/>
  <c r="D40" i="56"/>
  <c r="B40" i="56"/>
  <c r="Z39" i="56"/>
  <c r="X39" i="56"/>
  <c r="V39" i="56"/>
  <c r="N39" i="56"/>
  <c r="L39" i="56"/>
  <c r="B39" i="56"/>
  <c r="Z38" i="56"/>
  <c r="X38" i="56"/>
  <c r="V38" i="56"/>
  <c r="N38" i="56"/>
  <c r="L38" i="56"/>
  <c r="B38" i="56"/>
  <c r="Z37" i="56"/>
  <c r="X37" i="56"/>
  <c r="V37" i="56"/>
  <c r="N37" i="56"/>
  <c r="L37" i="56"/>
  <c r="B37" i="56"/>
  <c r="Z36" i="56"/>
  <c r="X36" i="56"/>
  <c r="V36" i="56"/>
  <c r="N36" i="56"/>
  <c r="L36" i="56"/>
  <c r="B36" i="56"/>
  <c r="Z35" i="56"/>
  <c r="X35" i="56"/>
  <c r="N35" i="56"/>
  <c r="L35" i="56"/>
  <c r="B35" i="56"/>
  <c r="Z34" i="56"/>
  <c r="X34" i="56"/>
  <c r="N34" i="56"/>
  <c r="L34" i="56"/>
  <c r="B34" i="56"/>
  <c r="Z33" i="56"/>
  <c r="X33" i="56"/>
  <c r="V33" i="56"/>
  <c r="N33" i="56"/>
  <c r="L33" i="56"/>
  <c r="B33" i="56"/>
  <c r="Z32" i="56"/>
  <c r="X32" i="56"/>
  <c r="V32" i="56"/>
  <c r="N32" i="56"/>
  <c r="L32" i="56"/>
  <c r="B32" i="56"/>
  <c r="Z31" i="56"/>
  <c r="X31" i="56"/>
  <c r="V31" i="56"/>
  <c r="N31" i="56"/>
  <c r="L31" i="56"/>
  <c r="B31" i="56"/>
  <c r="X30" i="56"/>
  <c r="Z30" i="56" s="1"/>
  <c r="V30" i="56"/>
  <c r="N30" i="56"/>
  <c r="L30" i="56"/>
  <c r="B30" i="56"/>
  <c r="Z29" i="56"/>
  <c r="X29" i="56"/>
  <c r="V29" i="56"/>
  <c r="T29" i="56"/>
  <c r="P29" i="56"/>
  <c r="H29" i="56"/>
  <c r="N29" i="56" s="1"/>
  <c r="D29" i="56"/>
  <c r="L29" i="56" s="1"/>
  <c r="B29" i="56"/>
  <c r="X28" i="56"/>
  <c r="Z28" i="56" s="1"/>
  <c r="V28" i="56"/>
  <c r="N28" i="56"/>
  <c r="L28" i="56"/>
  <c r="B28" i="56"/>
  <c r="Z27" i="56"/>
  <c r="X27" i="56"/>
  <c r="V27" i="56"/>
  <c r="N27" i="56"/>
  <c r="L27" i="56"/>
  <c r="B27" i="56"/>
  <c r="X26" i="56"/>
  <c r="Z26" i="56" s="1"/>
  <c r="V26" i="56"/>
  <c r="N26" i="56"/>
  <c r="L26" i="56"/>
  <c r="B26" i="56"/>
  <c r="Z25" i="56"/>
  <c r="X25" i="56"/>
  <c r="V25" i="56"/>
  <c r="N25" i="56"/>
  <c r="L25" i="56"/>
  <c r="B25" i="56"/>
  <c r="Z24" i="56"/>
  <c r="X24" i="56"/>
  <c r="V24" i="56"/>
  <c r="L24" i="56"/>
  <c r="N24" i="56" s="1"/>
  <c r="B24" i="56"/>
  <c r="Z23" i="56"/>
  <c r="X23" i="56"/>
  <c r="N23" i="56"/>
  <c r="L23" i="56"/>
  <c r="B23" i="56"/>
  <c r="Z22" i="56"/>
  <c r="X22" i="56"/>
  <c r="L22" i="56"/>
  <c r="N22" i="56" s="1"/>
  <c r="B22" i="56"/>
  <c r="X21" i="56"/>
  <c r="Z21" i="56" s="1"/>
  <c r="V21" i="56"/>
  <c r="N21" i="56"/>
  <c r="L21" i="56"/>
  <c r="B21" i="56"/>
  <c r="X20" i="56"/>
  <c r="Z20" i="56" s="1"/>
  <c r="V20" i="56"/>
  <c r="N20" i="56"/>
  <c r="L20" i="56"/>
  <c r="B20" i="56"/>
  <c r="V19" i="56"/>
  <c r="T19" i="56"/>
  <c r="P19" i="56"/>
  <c r="X19" i="56" s="1"/>
  <c r="H19" i="56"/>
  <c r="N19" i="56" s="1"/>
  <c r="F19" i="56"/>
  <c r="D19" i="56"/>
  <c r="L19" i="56" s="1"/>
  <c r="B19" i="56"/>
  <c r="T18" i="56" a="1"/>
  <c r="T18" i="56" s="1"/>
  <c r="P18" i="56" a="1"/>
  <c r="P18" i="56" s="1"/>
  <c r="H18" i="56" a="1"/>
  <c r="H18" i="56" s="1"/>
  <c r="F18" i="56"/>
  <c r="D18" i="56" a="1"/>
  <c r="D18" i="56" s="1"/>
  <c r="L18" i="56" s="1"/>
  <c r="T16" i="56"/>
  <c r="D16" i="56"/>
  <c r="X14" i="56"/>
  <c r="V14" i="56"/>
  <c r="T14" i="56"/>
  <c r="Z14" i="56" s="1"/>
  <c r="P14" i="56"/>
  <c r="L14" i="56"/>
  <c r="H14" i="56"/>
  <c r="N14" i="56" s="1"/>
  <c r="F14" i="56"/>
  <c r="D14" i="56"/>
  <c r="Z12" i="56"/>
  <c r="T12" i="56"/>
  <c r="V69" i="56" s="1"/>
  <c r="P12" i="56"/>
  <c r="R79" i="56" s="1"/>
  <c r="H12" i="56"/>
  <c r="J69" i="56" s="1"/>
  <c r="D12" i="56"/>
  <c r="F69" i="56" s="1"/>
  <c r="D6" i="56"/>
  <c r="D4" i="56"/>
  <c r="J35" i="55"/>
  <c r="Z33" i="55"/>
  <c r="X33" i="55"/>
  <c r="N33" i="55"/>
  <c r="L33" i="55"/>
  <c r="Z29" i="55"/>
  <c r="T29" i="55"/>
  <c r="P29" i="55"/>
  <c r="X29" i="55" s="1"/>
  <c r="L29" i="55"/>
  <c r="J29" i="55"/>
  <c r="H29" i="55"/>
  <c r="N29" i="55" s="1"/>
  <c r="D29" i="55"/>
  <c r="X27" i="55"/>
  <c r="Z27" i="55" s="1"/>
  <c r="N27" i="55"/>
  <c r="L27" i="55"/>
  <c r="B27" i="55"/>
  <c r="Z26" i="55"/>
  <c r="X26" i="55"/>
  <c r="N26" i="55"/>
  <c r="L26" i="55"/>
  <c r="B26" i="55"/>
  <c r="X25" i="55"/>
  <c r="V25" i="55"/>
  <c r="T25" i="55"/>
  <c r="Z25" i="55" s="1"/>
  <c r="P25" i="55"/>
  <c r="L25" i="55"/>
  <c r="H25" i="55"/>
  <c r="N25" i="55" s="1"/>
  <c r="F25" i="55"/>
  <c r="D25" i="55"/>
  <c r="B25" i="55"/>
  <c r="X24" i="55"/>
  <c r="Z24" i="55" s="1"/>
  <c r="L24" i="55"/>
  <c r="N24" i="55" s="1"/>
  <c r="F24" i="55"/>
  <c r="B24" i="55"/>
  <c r="X23" i="55"/>
  <c r="T23" i="55"/>
  <c r="Z23" i="55" s="1"/>
  <c r="P23" i="55"/>
  <c r="H23" i="55"/>
  <c r="N23" i="55" s="1"/>
  <c r="F23" i="55"/>
  <c r="D23" i="55"/>
  <c r="L23" i="55" s="1"/>
  <c r="B23" i="55"/>
  <c r="Z22" i="55"/>
  <c r="X22" i="55"/>
  <c r="N22" i="55"/>
  <c r="L22" i="55"/>
  <c r="J22" i="55"/>
  <c r="F22" i="55"/>
  <c r="B22" i="55"/>
  <c r="T21" i="55"/>
  <c r="P21" i="55"/>
  <c r="X21" i="55" s="1"/>
  <c r="H21" i="55"/>
  <c r="D21" i="55"/>
  <c r="L21" i="55" s="1"/>
  <c r="N21" i="55" s="1"/>
  <c r="B21" i="55"/>
  <c r="X20" i="55"/>
  <c r="Z20" i="55" s="1"/>
  <c r="N20" i="55"/>
  <c r="L20" i="55"/>
  <c r="J20" i="55"/>
  <c r="F20" i="55"/>
  <c r="B20" i="55"/>
  <c r="T19" i="55"/>
  <c r="P19" i="55"/>
  <c r="X19" i="55" s="1"/>
  <c r="Z19" i="55" s="1"/>
  <c r="L19" i="55"/>
  <c r="J19" i="55"/>
  <c r="H19" i="55"/>
  <c r="N19" i="55" s="1"/>
  <c r="F19" i="55"/>
  <c r="D19" i="55"/>
  <c r="B19" i="55"/>
  <c r="T18" i="55" a="1"/>
  <c r="T18" i="55" s="1"/>
  <c r="P18" i="55" a="1"/>
  <c r="P18" i="55" s="1"/>
  <c r="X18" i="55" s="1"/>
  <c r="J18" i="55"/>
  <c r="H18" i="55" a="1"/>
  <c r="H18" i="55" s="1"/>
  <c r="F18" i="55"/>
  <c r="D18" i="55" a="1"/>
  <c r="D18" i="55" s="1"/>
  <c r="T16" i="55"/>
  <c r="Z16" i="55" s="1"/>
  <c r="J16" i="55"/>
  <c r="F16" i="55"/>
  <c r="D16" i="55"/>
  <c r="Z14" i="55"/>
  <c r="T14" i="55"/>
  <c r="P14" i="55"/>
  <c r="X14" i="55" s="1"/>
  <c r="N14" i="55"/>
  <c r="L14" i="55"/>
  <c r="J14" i="55"/>
  <c r="H14" i="55"/>
  <c r="F14" i="55"/>
  <c r="D14" i="55"/>
  <c r="Z12" i="55"/>
  <c r="T12" i="55"/>
  <c r="V22" i="55" s="1"/>
  <c r="P12" i="55"/>
  <c r="R35" i="55" s="1"/>
  <c r="N12" i="55"/>
  <c r="L12" i="55"/>
  <c r="H12" i="55"/>
  <c r="J26" i="55" s="1"/>
  <c r="D12" i="55"/>
  <c r="F33" i="55" s="1"/>
  <c r="D6" i="55"/>
  <c r="D4" i="55"/>
  <c r="T29" i="54"/>
  <c r="Z29" i="54" s="1"/>
  <c r="R29" i="54"/>
  <c r="P29" i="54"/>
  <c r="X29" i="54" s="1"/>
  <c r="H29" i="54"/>
  <c r="F29" i="54"/>
  <c r="D29" i="54"/>
  <c r="L29" i="54" s="1"/>
  <c r="N29" i="54" s="1"/>
  <c r="X28" i="54"/>
  <c r="Z28" i="54" s="1"/>
  <c r="T28" i="54"/>
  <c r="P28" i="54"/>
  <c r="J28" i="54"/>
  <c r="H28" i="54"/>
  <c r="D28" i="54"/>
  <c r="R26" i="54"/>
  <c r="F26" i="54"/>
  <c r="Z24" i="54"/>
  <c r="X24" i="54"/>
  <c r="N24" i="54"/>
  <c r="L24" i="54"/>
  <c r="J24" i="54"/>
  <c r="J22" i="54"/>
  <c r="F22" i="54"/>
  <c r="T20" i="54"/>
  <c r="Z20" i="54" s="1"/>
  <c r="R20" i="54"/>
  <c r="P20" i="54"/>
  <c r="X20" i="54" s="1"/>
  <c r="N20" i="54"/>
  <c r="H20" i="54"/>
  <c r="F20" i="54"/>
  <c r="D20" i="54"/>
  <c r="L20" i="54" s="1"/>
  <c r="Z18" i="54"/>
  <c r="X18" i="54"/>
  <c r="T18" i="54"/>
  <c r="P18" i="54"/>
  <c r="J18" i="54"/>
  <c r="H18" i="54"/>
  <c r="N18" i="54" s="1"/>
  <c r="F18" i="54"/>
  <c r="D18" i="54"/>
  <c r="R16" i="54"/>
  <c r="P16" i="54"/>
  <c r="P22" i="54" s="1"/>
  <c r="F16" i="54"/>
  <c r="Z14" i="54"/>
  <c r="X14" i="54"/>
  <c r="T14" i="54"/>
  <c r="P14" i="54"/>
  <c r="J14" i="54"/>
  <c r="H14" i="54"/>
  <c r="N14" i="54" s="1"/>
  <c r="F14" i="54"/>
  <c r="D14" i="54"/>
  <c r="L14" i="54" s="1"/>
  <c r="T12" i="54"/>
  <c r="Z12" i="54" s="1"/>
  <c r="P12" i="54"/>
  <c r="R31" i="54" s="1"/>
  <c r="N12" i="54"/>
  <c r="L12" i="54"/>
  <c r="H12" i="54"/>
  <c r="J29" i="54" s="1"/>
  <c r="D12" i="54"/>
  <c r="F24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0" i="53" s="1"/>
  <c r="P12" i="53"/>
  <c r="H12" i="53"/>
  <c r="J34" i="53" s="1"/>
  <c r="D12" i="53"/>
  <c r="F20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2" i="52" s="1"/>
  <c r="P12" i="52"/>
  <c r="R18" i="52" s="1"/>
  <c r="H12" i="52"/>
  <c r="J20" i="52" s="1"/>
  <c r="D12" i="52"/>
  <c r="F22" i="52" s="1"/>
  <c r="D5" i="52"/>
  <c r="D4" i="52"/>
  <c r="X83" i="51"/>
  <c r="Z83" i="51" s="1"/>
  <c r="N83" i="51"/>
  <c r="L83" i="51"/>
  <c r="P79" i="51"/>
  <c r="X79" i="51" s="1"/>
  <c r="Z79" i="51" s="1"/>
  <c r="D79" i="51"/>
  <c r="L79" i="51" s="1"/>
  <c r="N79" i="51" s="1"/>
  <c r="B79" i="51"/>
  <c r="Z78" i="51"/>
  <c r="X78" i="51"/>
  <c r="P78" i="51"/>
  <c r="N78" i="51"/>
  <c r="D78" i="51"/>
  <c r="L78" i="51" s="1"/>
  <c r="B78" i="51"/>
  <c r="Z77" i="51"/>
  <c r="P77" i="51"/>
  <c r="P76" i="51" s="1"/>
  <c r="X76" i="51" s="1"/>
  <c r="N77" i="51"/>
  <c r="L77" i="51"/>
  <c r="D77" i="51"/>
  <c r="B77" i="51"/>
  <c r="T76" i="51"/>
  <c r="H76" i="51"/>
  <c r="D76" i="51"/>
  <c r="L76" i="51" s="1"/>
  <c r="Z74" i="51"/>
  <c r="X74" i="51"/>
  <c r="L74" i="51"/>
  <c r="N74" i="51" s="1"/>
  <c r="B74" i="51"/>
  <c r="T73" i="51"/>
  <c r="P73" i="51"/>
  <c r="X73" i="51" s="1"/>
  <c r="L73" i="51"/>
  <c r="N73" i="51" s="1"/>
  <c r="H73" i="51"/>
  <c r="D73" i="51"/>
  <c r="B73" i="51"/>
  <c r="X72" i="51"/>
  <c r="Z72" i="51" s="1"/>
  <c r="L72" i="51"/>
  <c r="N72" i="51" s="1"/>
  <c r="B72" i="51"/>
  <c r="X71" i="51"/>
  <c r="Z71" i="51" s="1"/>
  <c r="N71" i="51"/>
  <c r="L71" i="51"/>
  <c r="B71" i="51"/>
  <c r="T70" i="51"/>
  <c r="P70" i="51"/>
  <c r="X70" i="51" s="1"/>
  <c r="Z70" i="51" s="1"/>
  <c r="L70" i="51"/>
  <c r="H70" i="51"/>
  <c r="N70" i="51" s="1"/>
  <c r="D70" i="51"/>
  <c r="B70" i="51"/>
  <c r="Z69" i="51"/>
  <c r="X69" i="51"/>
  <c r="N69" i="51"/>
  <c r="L69" i="51"/>
  <c r="B69" i="51"/>
  <c r="X68" i="51"/>
  <c r="T68" i="51"/>
  <c r="Z68" i="51" s="1"/>
  <c r="P68" i="51"/>
  <c r="H68" i="51"/>
  <c r="N68" i="51" s="1"/>
  <c r="D68" i="51"/>
  <c r="B68" i="51"/>
  <c r="Z67" i="51"/>
  <c r="X67" i="51"/>
  <c r="L67" i="51"/>
  <c r="N67" i="51" s="1"/>
  <c r="B67" i="51"/>
  <c r="T66" i="51"/>
  <c r="P66" i="51"/>
  <c r="H66" i="51"/>
  <c r="N66" i="51" s="1"/>
  <c r="D66" i="51"/>
  <c r="L66" i="51" s="1"/>
  <c r="B66" i="51"/>
  <c r="Z65" i="51"/>
  <c r="X65" i="51"/>
  <c r="N65" i="51"/>
  <c r="L65" i="51"/>
  <c r="B65" i="51"/>
  <c r="T64" i="51"/>
  <c r="Z64" i="51" s="1"/>
  <c r="P64" i="51"/>
  <c r="X64" i="51" s="1"/>
  <c r="H64" i="51"/>
  <c r="D64" i="51"/>
  <c r="L64" i="51" s="1"/>
  <c r="N64" i="51" s="1"/>
  <c r="B64" i="51"/>
  <c r="X63" i="51"/>
  <c r="Z63" i="51" s="1"/>
  <c r="N63" i="51"/>
  <c r="L63" i="51"/>
  <c r="B63" i="51"/>
  <c r="T62" i="51"/>
  <c r="P62" i="51"/>
  <c r="X62" i="51" s="1"/>
  <c r="Z62" i="51" s="1"/>
  <c r="L62" i="51"/>
  <c r="H62" i="51"/>
  <c r="N62" i="51" s="1"/>
  <c r="D62" i="51"/>
  <c r="B62" i="51"/>
  <c r="Z61" i="51"/>
  <c r="X61" i="51"/>
  <c r="N61" i="51"/>
  <c r="L61" i="51"/>
  <c r="B61" i="51"/>
  <c r="X60" i="51"/>
  <c r="T60" i="51"/>
  <c r="Z60" i="51" s="1"/>
  <c r="P60" i="51"/>
  <c r="H60" i="51"/>
  <c r="D60" i="51"/>
  <c r="B60" i="51"/>
  <c r="Z59" i="51"/>
  <c r="X59" i="51"/>
  <c r="N59" i="51"/>
  <c r="L59" i="51"/>
  <c r="B59" i="51"/>
  <c r="T58" i="51"/>
  <c r="Z58" i="51" s="1"/>
  <c r="P58" i="51"/>
  <c r="H58" i="51"/>
  <c r="N58" i="51" s="1"/>
  <c r="D58" i="51"/>
  <c r="L58" i="51" s="1"/>
  <c r="B58" i="51"/>
  <c r="Z57" i="51"/>
  <c r="X57" i="51"/>
  <c r="N57" i="51"/>
  <c r="L57" i="51"/>
  <c r="B57" i="51"/>
  <c r="T56" i="51"/>
  <c r="P56" i="51"/>
  <c r="X56" i="51" s="1"/>
  <c r="H56" i="51"/>
  <c r="D56" i="51"/>
  <c r="L56" i="51" s="1"/>
  <c r="N56" i="51" s="1"/>
  <c r="B56" i="51"/>
  <c r="Z55" i="51"/>
  <c r="X55" i="51"/>
  <c r="N55" i="51"/>
  <c r="L55" i="51"/>
  <c r="B55" i="51"/>
  <c r="Z54" i="51"/>
  <c r="X54" i="51"/>
  <c r="N54" i="51"/>
  <c r="L54" i="51"/>
  <c r="B54" i="51"/>
  <c r="Z53" i="51"/>
  <c r="X53" i="51"/>
  <c r="N53" i="51"/>
  <c r="L53" i="51"/>
  <c r="B53" i="51"/>
  <c r="X52" i="51"/>
  <c r="Z52" i="51" s="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X47" i="51"/>
  <c r="Z47" i="51" s="1"/>
  <c r="N47" i="51"/>
  <c r="L47" i="51"/>
  <c r="B47" i="51"/>
  <c r="Z46" i="51"/>
  <c r="X46" i="51"/>
  <c r="N46" i="51"/>
  <c r="L46" i="51"/>
  <c r="B46" i="51"/>
  <c r="T45" i="51"/>
  <c r="P45" i="51"/>
  <c r="X45" i="51" s="1"/>
  <c r="Z45" i="51" s="1"/>
  <c r="L45" i="51"/>
  <c r="N45" i="51" s="1"/>
  <c r="H45" i="51"/>
  <c r="D45" i="51"/>
  <c r="B45" i="51"/>
  <c r="X44" i="51"/>
  <c r="Z44" i="51" s="1"/>
  <c r="L44" i="51"/>
  <c r="N44" i="51" s="1"/>
  <c r="B44" i="51"/>
  <c r="X43" i="51"/>
  <c r="Z43" i="51" s="1"/>
  <c r="N43" i="51"/>
  <c r="L43" i="51"/>
  <c r="B43" i="51"/>
  <c r="Z42" i="51"/>
  <c r="X42" i="51"/>
  <c r="L42" i="51"/>
  <c r="N42" i="51" s="1"/>
  <c r="B42" i="51"/>
  <c r="Z41" i="51"/>
  <c r="X41" i="51"/>
  <c r="N41" i="51"/>
  <c r="L41" i="51"/>
  <c r="B41" i="51"/>
  <c r="Z40" i="51"/>
  <c r="X40" i="51"/>
  <c r="N40" i="51"/>
  <c r="L40" i="51"/>
  <c r="B40" i="51"/>
  <c r="Z39" i="51"/>
  <c r="X39" i="51"/>
  <c r="L39" i="51"/>
  <c r="N39" i="51" s="1"/>
  <c r="B39" i="51"/>
  <c r="X38" i="51"/>
  <c r="Z38" i="51" s="1"/>
  <c r="N38" i="51"/>
  <c r="L38" i="51"/>
  <c r="B38" i="51"/>
  <c r="Z37" i="51"/>
  <c r="X37" i="51"/>
  <c r="N37" i="51"/>
  <c r="L37" i="51"/>
  <c r="B37" i="51"/>
  <c r="X36" i="51"/>
  <c r="Z36" i="51" s="1"/>
  <c r="L36" i="51"/>
  <c r="N36" i="51" s="1"/>
  <c r="B36" i="51"/>
  <c r="X35" i="51"/>
  <c r="Z35" i="51" s="1"/>
  <c r="N35" i="51"/>
  <c r="L35" i="51"/>
  <c r="B35" i="51"/>
  <c r="T34" i="51"/>
  <c r="P34" i="51"/>
  <c r="X34" i="51" s="1"/>
  <c r="Z34" i="51" s="1"/>
  <c r="L34" i="51"/>
  <c r="H34" i="51"/>
  <c r="N34" i="51" s="1"/>
  <c r="D34" i="51"/>
  <c r="B34" i="51"/>
  <c r="T33" i="51" a="1"/>
  <c r="T33" i="51" s="1"/>
  <c r="P33" i="51" a="1"/>
  <c r="P33" i="51" s="1"/>
  <c r="X33" i="51" s="1"/>
  <c r="H33" i="51" a="1"/>
  <c r="H33" i="51" s="1"/>
  <c r="D33" i="51" a="1"/>
  <c r="D33" i="51" s="1"/>
  <c r="T31" i="51"/>
  <c r="Z29" i="51"/>
  <c r="X29" i="51"/>
  <c r="N29" i="51"/>
  <c r="L29" i="51"/>
  <c r="B29" i="51"/>
  <c r="Z28" i="51"/>
  <c r="X28" i="51"/>
  <c r="N28" i="51"/>
  <c r="L28" i="51"/>
  <c r="B28" i="51"/>
  <c r="Z27" i="51"/>
  <c r="X27" i="51"/>
  <c r="N27" i="51"/>
  <c r="L27" i="51"/>
  <c r="B27" i="51"/>
  <c r="Z26" i="51"/>
  <c r="X26" i="51"/>
  <c r="N26" i="51"/>
  <c r="L26" i="51"/>
  <c r="B26" i="51"/>
  <c r="Z25" i="51"/>
  <c r="X25" i="51"/>
  <c r="V25" i="51"/>
  <c r="N25" i="51"/>
  <c r="L25" i="51"/>
  <c r="B25" i="51"/>
  <c r="Z24" i="51"/>
  <c r="X24" i="51"/>
  <c r="V24" i="51"/>
  <c r="N24" i="51"/>
  <c r="L24" i="51"/>
  <c r="B24" i="51"/>
  <c r="Z23" i="51"/>
  <c r="X23" i="51"/>
  <c r="N23" i="51"/>
  <c r="L23" i="51"/>
  <c r="B23" i="51"/>
  <c r="Z22" i="51"/>
  <c r="X22" i="51"/>
  <c r="N22" i="51"/>
  <c r="L22" i="51"/>
  <c r="B22" i="51"/>
  <c r="Z21" i="51"/>
  <c r="X21" i="51"/>
  <c r="V21" i="51"/>
  <c r="N21" i="51"/>
  <c r="L21" i="51"/>
  <c r="B21" i="51"/>
  <c r="X20" i="51"/>
  <c r="Z20" i="51" s="1"/>
  <c r="L20" i="51"/>
  <c r="N20" i="51" s="1"/>
  <c r="B20" i="51"/>
  <c r="V19" i="51"/>
  <c r="T19" i="51"/>
  <c r="P19" i="51"/>
  <c r="X19" i="51" s="1"/>
  <c r="Z19" i="51" s="1"/>
  <c r="H19" i="51"/>
  <c r="N19" i="51" s="1"/>
  <c r="D19" i="51"/>
  <c r="L19" i="51" s="1"/>
  <c r="Z17" i="51"/>
  <c r="X17" i="51"/>
  <c r="P17" i="51"/>
  <c r="N17" i="51"/>
  <c r="L17" i="51"/>
  <c r="D17" i="51"/>
  <c r="B17" i="51"/>
  <c r="Z16" i="51"/>
  <c r="P16" i="51"/>
  <c r="X16" i="51" s="1"/>
  <c r="N16" i="51"/>
  <c r="D16" i="51"/>
  <c r="L16" i="51" s="1"/>
  <c r="B16" i="51"/>
  <c r="Z15" i="51"/>
  <c r="P15" i="51"/>
  <c r="N15" i="51"/>
  <c r="L15" i="51"/>
  <c r="D15" i="51"/>
  <c r="B15" i="51"/>
  <c r="X14" i="51"/>
  <c r="Z14" i="51" s="1"/>
  <c r="P14" i="51"/>
  <c r="L14" i="51"/>
  <c r="N14" i="51" s="1"/>
  <c r="D14" i="51"/>
  <c r="B14" i="51"/>
  <c r="P13" i="51"/>
  <c r="X13" i="51" s="1"/>
  <c r="Z13" i="51" s="1"/>
  <c r="D13" i="51"/>
  <c r="B13" i="51"/>
  <c r="T12" i="51"/>
  <c r="V77" i="51" s="1"/>
  <c r="H12" i="51"/>
  <c r="D4" i="51"/>
  <c r="B39" i="50"/>
  <c r="B38" i="50"/>
  <c r="T34" i="50"/>
  <c r="Z34" i="50" s="1"/>
  <c r="P34" i="50"/>
  <c r="H34" i="50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5" i="50" s="1"/>
  <c r="P12" i="50"/>
  <c r="R21" i="50" s="1"/>
  <c r="H12" i="50"/>
  <c r="J21" i="50" s="1"/>
  <c r="D12" i="50"/>
  <c r="F29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20" i="49" s="1"/>
  <c r="P12" i="49"/>
  <c r="R20" i="49" s="1"/>
  <c r="H12" i="49"/>
  <c r="J16" i="49" s="1"/>
  <c r="D12" i="49"/>
  <c r="F34" i="49" s="1"/>
  <c r="D5" i="49"/>
  <c r="D4" i="49"/>
  <c r="Z77" i="48"/>
  <c r="X77" i="48"/>
  <c r="N77" i="48"/>
  <c r="L77" i="48"/>
  <c r="J77" i="48"/>
  <c r="Z73" i="48"/>
  <c r="X73" i="48"/>
  <c r="V73" i="48"/>
  <c r="P73" i="48"/>
  <c r="D73" i="48"/>
  <c r="L73" i="48" s="1"/>
  <c r="N73" i="48" s="1"/>
  <c r="B73" i="48"/>
  <c r="T72" i="48"/>
  <c r="P72" i="48"/>
  <c r="X72" i="48" s="1"/>
  <c r="Z72" i="48" s="1"/>
  <c r="H72" i="48"/>
  <c r="X70" i="48"/>
  <c r="Z70" i="48" s="1"/>
  <c r="R70" i="48"/>
  <c r="L70" i="48"/>
  <c r="N70" i="48" s="1"/>
  <c r="B70" i="48"/>
  <c r="Z69" i="48"/>
  <c r="X69" i="48"/>
  <c r="V69" i="48"/>
  <c r="T69" i="48"/>
  <c r="P69" i="48"/>
  <c r="J69" i="48"/>
  <c r="H69" i="48"/>
  <c r="D69" i="48"/>
  <c r="B69" i="48"/>
  <c r="Z68" i="48"/>
  <c r="X68" i="48"/>
  <c r="R68" i="48"/>
  <c r="L68" i="48"/>
  <c r="N68" i="48" s="1"/>
  <c r="B68" i="48"/>
  <c r="V67" i="48"/>
  <c r="T67" i="48"/>
  <c r="R67" i="48"/>
  <c r="P67" i="48"/>
  <c r="H67" i="48"/>
  <c r="D67" i="48"/>
  <c r="L67" i="48" s="1"/>
  <c r="N67" i="48" s="1"/>
  <c r="B67" i="48"/>
  <c r="Z66" i="48"/>
  <c r="X66" i="48"/>
  <c r="N66" i="48"/>
  <c r="L66" i="48"/>
  <c r="B66" i="48"/>
  <c r="Z65" i="48"/>
  <c r="X65" i="48"/>
  <c r="N65" i="48"/>
  <c r="L65" i="48"/>
  <c r="J65" i="48"/>
  <c r="B65" i="48"/>
  <c r="Z64" i="48"/>
  <c r="X64" i="48"/>
  <c r="R64" i="48"/>
  <c r="L64" i="48"/>
  <c r="N64" i="48" s="1"/>
  <c r="B64" i="48"/>
  <c r="V63" i="48"/>
  <c r="T63" i="48"/>
  <c r="R63" i="48"/>
  <c r="P63" i="48"/>
  <c r="H63" i="48"/>
  <c r="D63" i="48"/>
  <c r="L63" i="48" s="1"/>
  <c r="N63" i="48" s="1"/>
  <c r="B63" i="48"/>
  <c r="X62" i="48"/>
  <c r="Z62" i="48" s="1"/>
  <c r="L62" i="48"/>
  <c r="N62" i="48" s="1"/>
  <c r="B62" i="48"/>
  <c r="T61" i="48"/>
  <c r="R61" i="48"/>
  <c r="P61" i="48"/>
  <c r="X61" i="48" s="1"/>
  <c r="Z61" i="48" s="1"/>
  <c r="H61" i="48"/>
  <c r="D61" i="48"/>
  <c r="L61" i="48" s="1"/>
  <c r="N61" i="48" s="1"/>
  <c r="B61" i="48"/>
  <c r="Z60" i="48"/>
  <c r="X60" i="48"/>
  <c r="N60" i="48"/>
  <c r="L60" i="48"/>
  <c r="B60" i="48"/>
  <c r="Z59" i="48"/>
  <c r="X59" i="48"/>
  <c r="L59" i="48"/>
  <c r="N59" i="48" s="1"/>
  <c r="J59" i="48"/>
  <c r="B59" i="48"/>
  <c r="X58" i="48"/>
  <c r="Z58" i="48" s="1"/>
  <c r="N58" i="48"/>
  <c r="L58" i="48"/>
  <c r="B58" i="48"/>
  <c r="T57" i="48"/>
  <c r="R57" i="48"/>
  <c r="P57" i="48"/>
  <c r="X57" i="48" s="1"/>
  <c r="Z57" i="48" s="1"/>
  <c r="H57" i="48"/>
  <c r="D57" i="48"/>
  <c r="L57" i="48" s="1"/>
  <c r="N57" i="48" s="1"/>
  <c r="B57" i="48"/>
  <c r="X56" i="48"/>
  <c r="Z56" i="48" s="1"/>
  <c r="N56" i="48"/>
  <c r="L56" i="48"/>
  <c r="B56" i="48"/>
  <c r="T55" i="48"/>
  <c r="P55" i="48"/>
  <c r="X55" i="48" s="1"/>
  <c r="Z55" i="48" s="1"/>
  <c r="N55" i="48"/>
  <c r="L55" i="48"/>
  <c r="J55" i="48"/>
  <c r="H55" i="48"/>
  <c r="D55" i="48"/>
  <c r="B55" i="48"/>
  <c r="X54" i="48"/>
  <c r="Z54" i="48" s="1"/>
  <c r="R54" i="48"/>
  <c r="L54" i="48"/>
  <c r="N54" i="48" s="1"/>
  <c r="B54" i="48"/>
  <c r="Z53" i="48"/>
  <c r="X53" i="48"/>
  <c r="V53" i="48"/>
  <c r="T53" i="48"/>
  <c r="P53" i="48"/>
  <c r="J53" i="48"/>
  <c r="H53" i="48"/>
  <c r="D53" i="48"/>
  <c r="B53" i="48"/>
  <c r="Z52" i="48"/>
  <c r="X52" i="48"/>
  <c r="R52" i="48"/>
  <c r="L52" i="48"/>
  <c r="N52" i="48" s="1"/>
  <c r="B52" i="48"/>
  <c r="V51" i="48"/>
  <c r="T51" i="48"/>
  <c r="R51" i="48"/>
  <c r="P51" i="48"/>
  <c r="H51" i="48"/>
  <c r="D51" i="48"/>
  <c r="L51" i="48" s="1"/>
  <c r="N51" i="48" s="1"/>
  <c r="B51" i="48"/>
  <c r="X50" i="48"/>
  <c r="Z50" i="48" s="1"/>
  <c r="L50" i="48"/>
  <c r="N50" i="48" s="1"/>
  <c r="B50" i="48"/>
  <c r="Z49" i="48"/>
  <c r="X49" i="48"/>
  <c r="N49" i="48"/>
  <c r="L49" i="48"/>
  <c r="J49" i="48"/>
  <c r="B49" i="48"/>
  <c r="T48" i="48"/>
  <c r="P48" i="48"/>
  <c r="H48" i="48"/>
  <c r="D48" i="48"/>
  <c r="L48" i="48" s="1"/>
  <c r="N48" i="48" s="1"/>
  <c r="B48" i="48"/>
  <c r="Z47" i="48"/>
  <c r="X47" i="48"/>
  <c r="L47" i="48"/>
  <c r="N47" i="48" s="1"/>
  <c r="J47" i="48"/>
  <c r="B47" i="48"/>
  <c r="T46" i="48"/>
  <c r="P46" i="48"/>
  <c r="X46" i="48" s="1"/>
  <c r="Z46" i="48" s="1"/>
  <c r="L46" i="48"/>
  <c r="N46" i="48" s="1"/>
  <c r="H46" i="48"/>
  <c r="D46" i="48"/>
  <c r="B46" i="48"/>
  <c r="Z45" i="48"/>
  <c r="X45" i="48"/>
  <c r="V45" i="48"/>
  <c r="N45" i="48"/>
  <c r="L45" i="48"/>
  <c r="B45" i="48"/>
  <c r="X44" i="48"/>
  <c r="Z44" i="48" s="1"/>
  <c r="T44" i="48"/>
  <c r="P44" i="48"/>
  <c r="L44" i="48"/>
  <c r="H44" i="48"/>
  <c r="N44" i="48" s="1"/>
  <c r="D44" i="48"/>
  <c r="B44" i="48"/>
  <c r="X43" i="48"/>
  <c r="Z43" i="48" s="1"/>
  <c r="V43" i="48"/>
  <c r="N43" i="48"/>
  <c r="L43" i="48"/>
  <c r="B43" i="48"/>
  <c r="X42" i="48"/>
  <c r="T42" i="48"/>
  <c r="P42" i="48"/>
  <c r="H42" i="48"/>
  <c r="D42" i="48"/>
  <c r="L42" i="48" s="1"/>
  <c r="B42" i="48"/>
  <c r="Z41" i="48"/>
  <c r="X41" i="48"/>
  <c r="N41" i="48"/>
  <c r="L41" i="48"/>
  <c r="J41" i="48"/>
  <c r="B41" i="48"/>
  <c r="Z40" i="48"/>
  <c r="X40" i="48"/>
  <c r="R40" i="48"/>
  <c r="N40" i="48"/>
  <c r="L40" i="48"/>
  <c r="B40" i="48"/>
  <c r="X39" i="48"/>
  <c r="Z39" i="48" s="1"/>
  <c r="V39" i="48"/>
  <c r="N39" i="48"/>
  <c r="L39" i="48"/>
  <c r="B39" i="48"/>
  <c r="X38" i="48"/>
  <c r="Z38" i="48" s="1"/>
  <c r="V38" i="48"/>
  <c r="R38" i="48"/>
  <c r="N38" i="48"/>
  <c r="L38" i="48"/>
  <c r="B38" i="48"/>
  <c r="Z37" i="48"/>
  <c r="X37" i="48"/>
  <c r="V37" i="48"/>
  <c r="N37" i="48"/>
  <c r="L37" i="48"/>
  <c r="B37" i="48"/>
  <c r="Z36" i="48"/>
  <c r="X36" i="48"/>
  <c r="N36" i="48"/>
  <c r="L36" i="48"/>
  <c r="B36" i="48"/>
  <c r="Z35" i="48"/>
  <c r="X35" i="48"/>
  <c r="L35" i="48"/>
  <c r="N35" i="48" s="1"/>
  <c r="J35" i="48"/>
  <c r="B35" i="48"/>
  <c r="Z34" i="48"/>
  <c r="X34" i="48"/>
  <c r="N34" i="48"/>
  <c r="L34" i="48"/>
  <c r="B34" i="48"/>
  <c r="Z33" i="48"/>
  <c r="X33" i="48"/>
  <c r="N33" i="48"/>
  <c r="L33" i="48"/>
  <c r="J33" i="48"/>
  <c r="B33" i="48"/>
  <c r="Z32" i="48"/>
  <c r="X32" i="48"/>
  <c r="R32" i="48"/>
  <c r="L32" i="48"/>
  <c r="N32" i="48" s="1"/>
  <c r="B32" i="48"/>
  <c r="V31" i="48"/>
  <c r="T31" i="48"/>
  <c r="R31" i="48"/>
  <c r="P31" i="48"/>
  <c r="H31" i="48"/>
  <c r="D31" i="48"/>
  <c r="L31" i="48" s="1"/>
  <c r="N31" i="48" s="1"/>
  <c r="B31" i="48"/>
  <c r="Z30" i="48"/>
  <c r="X30" i="48"/>
  <c r="N30" i="48"/>
  <c r="L30" i="48"/>
  <c r="J30" i="48"/>
  <c r="B30" i="48"/>
  <c r="Z29" i="48"/>
  <c r="X29" i="48"/>
  <c r="N29" i="48"/>
  <c r="L29" i="48"/>
  <c r="J29" i="48"/>
  <c r="B29" i="48"/>
  <c r="Z28" i="48"/>
  <c r="X28" i="48"/>
  <c r="V28" i="48"/>
  <c r="R28" i="48"/>
  <c r="L28" i="48"/>
  <c r="N28" i="48" s="1"/>
  <c r="B28" i="48"/>
  <c r="Z27" i="48"/>
  <c r="X27" i="48"/>
  <c r="V27" i="48"/>
  <c r="N27" i="48"/>
  <c r="L27" i="48"/>
  <c r="B27" i="48"/>
  <c r="Z26" i="48"/>
  <c r="X26" i="48"/>
  <c r="V26" i="48"/>
  <c r="R26" i="48"/>
  <c r="N26" i="48"/>
  <c r="L26" i="48"/>
  <c r="B26" i="48"/>
  <c r="Z25" i="48"/>
  <c r="X25" i="48"/>
  <c r="V25" i="48"/>
  <c r="N25" i="48"/>
  <c r="L25" i="48"/>
  <c r="B25" i="48"/>
  <c r="X24" i="48"/>
  <c r="Z24" i="48" s="1"/>
  <c r="N24" i="48"/>
  <c r="L24" i="48"/>
  <c r="B24" i="48"/>
  <c r="Z23" i="48"/>
  <c r="X23" i="48"/>
  <c r="V23" i="48"/>
  <c r="L23" i="48"/>
  <c r="N23" i="48" s="1"/>
  <c r="J23" i="48"/>
  <c r="B23" i="48"/>
  <c r="X22" i="48"/>
  <c r="Z22" i="48" s="1"/>
  <c r="V22" i="48"/>
  <c r="L22" i="48"/>
  <c r="N22" i="48" s="1"/>
  <c r="J22" i="48"/>
  <c r="B22" i="48"/>
  <c r="Z21" i="48"/>
  <c r="X21" i="48"/>
  <c r="N21" i="48"/>
  <c r="L21" i="48"/>
  <c r="J21" i="48"/>
  <c r="B21" i="48"/>
  <c r="T20" i="48"/>
  <c r="P20" i="48"/>
  <c r="X20" i="48" s="1"/>
  <c r="H20" i="48"/>
  <c r="D20" i="48"/>
  <c r="L20" i="48" s="1"/>
  <c r="N20" i="48" s="1"/>
  <c r="B20" i="48"/>
  <c r="T19" i="48" a="1"/>
  <c r="T19" i="48" s="1"/>
  <c r="P19" i="48" a="1"/>
  <c r="P19" i="48" s="1"/>
  <c r="H19" i="48" a="1"/>
  <c r="H19" i="48" s="1"/>
  <c r="D19" i="48" a="1"/>
  <c r="D19" i="48" s="1"/>
  <c r="L19" i="48" s="1"/>
  <c r="V15" i="48"/>
  <c r="T15" i="48"/>
  <c r="T17" i="48" s="1"/>
  <c r="R15" i="48"/>
  <c r="P15" i="48"/>
  <c r="N15" i="48"/>
  <c r="H15" i="48"/>
  <c r="D15" i="48"/>
  <c r="L15" i="48" s="1"/>
  <c r="P13" i="48"/>
  <c r="X13" i="48" s="1"/>
  <c r="Z13" i="48" s="1"/>
  <c r="D13" i="48"/>
  <c r="L13" i="48" s="1"/>
  <c r="N13" i="48" s="1"/>
  <c r="B13" i="48"/>
  <c r="X12" i="48"/>
  <c r="Z12" i="48" s="1"/>
  <c r="T12" i="48"/>
  <c r="V60" i="48" s="1"/>
  <c r="P12" i="48"/>
  <c r="R73" i="48" s="1"/>
  <c r="H12" i="48"/>
  <c r="J72" i="48" s="1"/>
  <c r="D12" i="48"/>
  <c r="F31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X21" i="47" s="1"/>
  <c r="H21" i="47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P13" i="47"/>
  <c r="H13" i="47"/>
  <c r="D13" i="47"/>
  <c r="B13" i="47"/>
  <c r="T12" i="47"/>
  <c r="V24" i="47" s="1"/>
  <c r="P12" i="47"/>
  <c r="R20" i="47" s="1"/>
  <c r="H12" i="47"/>
  <c r="D12" i="47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4" i="46" s="1"/>
  <c r="P12" i="46"/>
  <c r="R22" i="46" s="1"/>
  <c r="H12" i="46"/>
  <c r="J16" i="46" s="1"/>
  <c r="D12" i="46"/>
  <c r="F34" i="46" s="1"/>
  <c r="D5" i="46"/>
  <c r="D4" i="46"/>
  <c r="X104" i="45"/>
  <c r="Z104" i="45" s="1"/>
  <c r="N104" i="45"/>
  <c r="L104" i="45"/>
  <c r="Z100" i="45"/>
  <c r="X100" i="45"/>
  <c r="V100" i="45"/>
  <c r="T100" i="45"/>
  <c r="P100" i="45"/>
  <c r="J100" i="45"/>
  <c r="H100" i="45"/>
  <c r="N100" i="45" s="1"/>
  <c r="D100" i="45"/>
  <c r="Z98" i="45"/>
  <c r="X98" i="45"/>
  <c r="N98" i="45"/>
  <c r="L98" i="45"/>
  <c r="B98" i="45"/>
  <c r="Z97" i="45"/>
  <c r="X97" i="45"/>
  <c r="N97" i="45"/>
  <c r="L97" i="45"/>
  <c r="B97" i="45"/>
  <c r="V96" i="45"/>
  <c r="T96" i="45"/>
  <c r="Z96" i="45" s="1"/>
  <c r="P96" i="45"/>
  <c r="N96" i="45"/>
  <c r="H96" i="45"/>
  <c r="D96" i="45"/>
  <c r="L96" i="45" s="1"/>
  <c r="B96" i="45"/>
  <c r="X95" i="45"/>
  <c r="Z95" i="45" s="1"/>
  <c r="L95" i="45"/>
  <c r="N95" i="45" s="1"/>
  <c r="B95" i="45"/>
  <c r="T94" i="45"/>
  <c r="P94" i="45"/>
  <c r="X94" i="45" s="1"/>
  <c r="Z94" i="45" s="1"/>
  <c r="H94" i="45"/>
  <c r="D94" i="45"/>
  <c r="L94" i="45" s="1"/>
  <c r="N94" i="45" s="1"/>
  <c r="B94" i="45"/>
  <c r="X93" i="45"/>
  <c r="Z93" i="45" s="1"/>
  <c r="N93" i="45"/>
  <c r="L93" i="45"/>
  <c r="B93" i="45"/>
  <c r="Z92" i="45"/>
  <c r="X92" i="45"/>
  <c r="L92" i="45"/>
  <c r="N92" i="45" s="1"/>
  <c r="J92" i="45"/>
  <c r="B92" i="45"/>
  <c r="T91" i="45"/>
  <c r="P91" i="45"/>
  <c r="X91" i="45" s="1"/>
  <c r="Z91" i="45" s="1"/>
  <c r="L91" i="45"/>
  <c r="N91" i="45" s="1"/>
  <c r="H91" i="45"/>
  <c r="D91" i="45"/>
  <c r="B91" i="45"/>
  <c r="Z90" i="45"/>
  <c r="X90" i="45"/>
  <c r="V90" i="45"/>
  <c r="L90" i="45"/>
  <c r="N90" i="45" s="1"/>
  <c r="B90" i="45"/>
  <c r="Z89" i="45"/>
  <c r="X89" i="45"/>
  <c r="N89" i="45"/>
  <c r="L89" i="45"/>
  <c r="B89" i="45"/>
  <c r="Z88" i="45"/>
  <c r="X88" i="45"/>
  <c r="L88" i="45"/>
  <c r="N88" i="45" s="1"/>
  <c r="J88" i="45"/>
  <c r="B88" i="45"/>
  <c r="X87" i="45"/>
  <c r="Z87" i="45" s="1"/>
  <c r="L87" i="45"/>
  <c r="N87" i="45" s="1"/>
  <c r="B87" i="45"/>
  <c r="X86" i="45"/>
  <c r="Z86" i="45" s="1"/>
  <c r="N86" i="45"/>
  <c r="L86" i="45"/>
  <c r="B86" i="45"/>
  <c r="Z85" i="45"/>
  <c r="X85" i="45"/>
  <c r="L85" i="45"/>
  <c r="N85" i="45" s="1"/>
  <c r="B85" i="45"/>
  <c r="X84" i="45"/>
  <c r="Z84" i="45" s="1"/>
  <c r="V84" i="45"/>
  <c r="N84" i="45"/>
  <c r="L84" i="45"/>
  <c r="B84" i="45"/>
  <c r="Z83" i="45"/>
  <c r="X83" i="45"/>
  <c r="N83" i="45"/>
  <c r="L83" i="45"/>
  <c r="B83" i="45"/>
  <c r="Z82" i="45"/>
  <c r="X82" i="45"/>
  <c r="V82" i="45"/>
  <c r="L82" i="45"/>
  <c r="N82" i="45" s="1"/>
  <c r="B82" i="45"/>
  <c r="X81" i="45"/>
  <c r="Z81" i="45" s="1"/>
  <c r="T81" i="45"/>
  <c r="P81" i="45"/>
  <c r="L81" i="45"/>
  <c r="H81" i="45"/>
  <c r="D81" i="45"/>
  <c r="B81" i="45"/>
  <c r="X80" i="45"/>
  <c r="Z80" i="45" s="1"/>
  <c r="V80" i="45"/>
  <c r="N80" i="45"/>
  <c r="L80" i="45"/>
  <c r="B80" i="45"/>
  <c r="X79" i="45"/>
  <c r="T79" i="45"/>
  <c r="Z79" i="45" s="1"/>
  <c r="P79" i="45"/>
  <c r="H79" i="45"/>
  <c r="N79" i="45" s="1"/>
  <c r="D79" i="45"/>
  <c r="B79" i="45"/>
  <c r="X78" i="45"/>
  <c r="Z78" i="45" s="1"/>
  <c r="N78" i="45"/>
  <c r="L78" i="45"/>
  <c r="B78" i="45"/>
  <c r="Z77" i="45"/>
  <c r="X77" i="45"/>
  <c r="L77" i="45"/>
  <c r="N77" i="45" s="1"/>
  <c r="B77" i="45"/>
  <c r="X76" i="45"/>
  <c r="Z76" i="45" s="1"/>
  <c r="V76" i="45"/>
  <c r="N76" i="45"/>
  <c r="L76" i="45"/>
  <c r="B76" i="45"/>
  <c r="X75" i="45"/>
  <c r="Z75" i="45" s="1"/>
  <c r="L75" i="45"/>
  <c r="N75" i="45" s="1"/>
  <c r="B75" i="45"/>
  <c r="Z74" i="45"/>
  <c r="X74" i="45"/>
  <c r="V74" i="45"/>
  <c r="T74" i="45"/>
  <c r="P74" i="45"/>
  <c r="J74" i="45"/>
  <c r="H74" i="45"/>
  <c r="D74" i="45"/>
  <c r="B74" i="45"/>
  <c r="Z73" i="45"/>
  <c r="X73" i="45"/>
  <c r="L73" i="45"/>
  <c r="N73" i="45" s="1"/>
  <c r="B73" i="45"/>
  <c r="X72" i="45"/>
  <c r="Z72" i="45" s="1"/>
  <c r="V72" i="45"/>
  <c r="N72" i="45"/>
  <c r="L72" i="45"/>
  <c r="B72" i="45"/>
  <c r="X71" i="45"/>
  <c r="Z71" i="45" s="1"/>
  <c r="L71" i="45"/>
  <c r="N71" i="45" s="1"/>
  <c r="B71" i="45"/>
  <c r="Z70" i="45"/>
  <c r="X70" i="45"/>
  <c r="V70" i="45"/>
  <c r="T70" i="45"/>
  <c r="P70" i="45"/>
  <c r="J70" i="45"/>
  <c r="H70" i="45"/>
  <c r="D70" i="45"/>
  <c r="B70" i="45"/>
  <c r="Z69" i="45"/>
  <c r="X69" i="45"/>
  <c r="L69" i="45"/>
  <c r="N69" i="45" s="1"/>
  <c r="B69" i="45"/>
  <c r="V68" i="45"/>
  <c r="T68" i="45"/>
  <c r="P68" i="45"/>
  <c r="H68" i="45"/>
  <c r="N68" i="45" s="1"/>
  <c r="D68" i="45"/>
  <c r="L68" i="45" s="1"/>
  <c r="B68" i="45"/>
  <c r="X67" i="45"/>
  <c r="Z67" i="45" s="1"/>
  <c r="L67" i="45"/>
  <c r="N67" i="45" s="1"/>
  <c r="B67" i="45"/>
  <c r="T66" i="45"/>
  <c r="Z66" i="45" s="1"/>
  <c r="P66" i="45"/>
  <c r="X66" i="45" s="1"/>
  <c r="H66" i="45"/>
  <c r="D66" i="45"/>
  <c r="L66" i="45" s="1"/>
  <c r="N66" i="45" s="1"/>
  <c r="B66" i="45"/>
  <c r="X65" i="45"/>
  <c r="Z65" i="45" s="1"/>
  <c r="N65" i="45"/>
  <c r="L65" i="45"/>
  <c r="B65" i="45"/>
  <c r="T64" i="45"/>
  <c r="P64" i="45"/>
  <c r="X64" i="45" s="1"/>
  <c r="Z64" i="45" s="1"/>
  <c r="N64" i="45"/>
  <c r="L64" i="45"/>
  <c r="H64" i="45"/>
  <c r="D64" i="45"/>
  <c r="B64" i="45"/>
  <c r="X63" i="45"/>
  <c r="Z63" i="45" s="1"/>
  <c r="L63" i="45"/>
  <c r="N63" i="45" s="1"/>
  <c r="B63" i="45"/>
  <c r="Z62" i="45"/>
  <c r="X62" i="45"/>
  <c r="V62" i="45"/>
  <c r="T62" i="45"/>
  <c r="P62" i="45"/>
  <c r="J62" i="45"/>
  <c r="H62" i="45"/>
  <c r="D62" i="45"/>
  <c r="B62" i="45"/>
  <c r="Z61" i="45"/>
  <c r="X61" i="45"/>
  <c r="L61" i="45"/>
  <c r="N61" i="45" s="1"/>
  <c r="B61" i="45"/>
  <c r="V60" i="45"/>
  <c r="T60" i="45"/>
  <c r="P60" i="45"/>
  <c r="H60" i="45"/>
  <c r="D60" i="45"/>
  <c r="L60" i="45" s="1"/>
  <c r="B60" i="45"/>
  <c r="X59" i="45"/>
  <c r="Z59" i="45" s="1"/>
  <c r="L59" i="45"/>
  <c r="N59" i="45" s="1"/>
  <c r="B59" i="45"/>
  <c r="T58" i="45"/>
  <c r="Z58" i="45" s="1"/>
  <c r="P58" i="45"/>
  <c r="X58" i="45" s="1"/>
  <c r="H58" i="45"/>
  <c r="D58" i="45"/>
  <c r="L58" i="45" s="1"/>
  <c r="N58" i="45" s="1"/>
  <c r="B58" i="45"/>
  <c r="X57" i="45"/>
  <c r="Z57" i="45" s="1"/>
  <c r="N57" i="45"/>
  <c r="L57" i="45"/>
  <c r="B57" i="45"/>
  <c r="T56" i="45"/>
  <c r="P56" i="45"/>
  <c r="X56" i="45" s="1"/>
  <c r="Z56" i="45" s="1"/>
  <c r="N56" i="45"/>
  <c r="L56" i="45"/>
  <c r="H56" i="45"/>
  <c r="D56" i="45"/>
  <c r="B56" i="45"/>
  <c r="X55" i="45"/>
  <c r="Z55" i="45" s="1"/>
  <c r="L55" i="45"/>
  <c r="N55" i="45" s="1"/>
  <c r="B55" i="45"/>
  <c r="Z54" i="45"/>
  <c r="X54" i="45"/>
  <c r="V54" i="45"/>
  <c r="T54" i="45"/>
  <c r="P54" i="45"/>
  <c r="J54" i="45"/>
  <c r="H54" i="45"/>
  <c r="D54" i="45"/>
  <c r="B54" i="45"/>
  <c r="Z53" i="45"/>
  <c r="X53" i="45"/>
  <c r="L53" i="45"/>
  <c r="N53" i="45" s="1"/>
  <c r="B53" i="45"/>
  <c r="V52" i="45"/>
  <c r="T52" i="45"/>
  <c r="P52" i="45"/>
  <c r="H52" i="45"/>
  <c r="D52" i="45"/>
  <c r="L52" i="45" s="1"/>
  <c r="B52" i="45"/>
  <c r="X51" i="45"/>
  <c r="Z51" i="45" s="1"/>
  <c r="L51" i="45"/>
  <c r="N51" i="45" s="1"/>
  <c r="B51" i="45"/>
  <c r="T50" i="45"/>
  <c r="P50" i="45"/>
  <c r="X50" i="45" s="1"/>
  <c r="H50" i="45"/>
  <c r="D50" i="45"/>
  <c r="L50" i="45" s="1"/>
  <c r="N50" i="45" s="1"/>
  <c r="B50" i="45"/>
  <c r="Z49" i="45"/>
  <c r="X49" i="45"/>
  <c r="N49" i="45"/>
  <c r="L49" i="45"/>
  <c r="B49" i="45"/>
  <c r="Z48" i="45"/>
  <c r="X48" i="45"/>
  <c r="N48" i="45"/>
  <c r="L48" i="45"/>
  <c r="J48" i="45"/>
  <c r="B48" i="45"/>
  <c r="X47" i="45"/>
  <c r="Z47" i="45" s="1"/>
  <c r="L47" i="45"/>
  <c r="N47" i="45" s="1"/>
  <c r="B47" i="45"/>
  <c r="X46" i="45"/>
  <c r="Z46" i="45" s="1"/>
  <c r="N46" i="45"/>
  <c r="L46" i="45"/>
  <c r="B46" i="45"/>
  <c r="Z45" i="45"/>
  <c r="X45" i="45"/>
  <c r="N45" i="45"/>
  <c r="L45" i="45"/>
  <c r="B45" i="45"/>
  <c r="X44" i="45"/>
  <c r="Z44" i="45" s="1"/>
  <c r="V44" i="45"/>
  <c r="N44" i="45"/>
  <c r="L44" i="45"/>
  <c r="B44" i="45"/>
  <c r="X43" i="45"/>
  <c r="Z43" i="45" s="1"/>
  <c r="L43" i="45"/>
  <c r="N43" i="45" s="1"/>
  <c r="B43" i="45"/>
  <c r="Z42" i="45"/>
  <c r="X42" i="45"/>
  <c r="V42" i="45"/>
  <c r="N42" i="45"/>
  <c r="L42" i="45"/>
  <c r="B42" i="45"/>
  <c r="X41" i="45"/>
  <c r="Z41" i="45" s="1"/>
  <c r="N41" i="45"/>
  <c r="L41" i="45"/>
  <c r="B41" i="45"/>
  <c r="Z40" i="45"/>
  <c r="X40" i="45"/>
  <c r="N40" i="45"/>
  <c r="L40" i="45"/>
  <c r="J40" i="45"/>
  <c r="B40" i="45"/>
  <c r="T39" i="45"/>
  <c r="P39" i="45"/>
  <c r="X39" i="45" s="1"/>
  <c r="Z39" i="45" s="1"/>
  <c r="L39" i="45"/>
  <c r="N39" i="45" s="1"/>
  <c r="H39" i="45"/>
  <c r="D39" i="45"/>
  <c r="B39" i="45"/>
  <c r="Z38" i="45"/>
  <c r="X38" i="45"/>
  <c r="V38" i="45"/>
  <c r="L38" i="45"/>
  <c r="N38" i="45" s="1"/>
  <c r="B38" i="45"/>
  <c r="X37" i="45"/>
  <c r="Z37" i="45" s="1"/>
  <c r="N37" i="45"/>
  <c r="L37" i="45"/>
  <c r="B37" i="45"/>
  <c r="Z36" i="45"/>
  <c r="X36" i="45"/>
  <c r="L36" i="45"/>
  <c r="N36" i="45" s="1"/>
  <c r="J36" i="45"/>
  <c r="B36" i="45"/>
  <c r="Z35" i="45"/>
  <c r="X35" i="45"/>
  <c r="N35" i="45"/>
  <c r="L35" i="45"/>
  <c r="B35" i="45"/>
  <c r="Z34" i="45"/>
  <c r="X34" i="45"/>
  <c r="N34" i="45"/>
  <c r="L34" i="45"/>
  <c r="B34" i="45"/>
  <c r="Z33" i="45"/>
  <c r="X33" i="45"/>
  <c r="V33" i="45"/>
  <c r="L33" i="45"/>
  <c r="N33" i="45" s="1"/>
  <c r="B33" i="45"/>
  <c r="X32" i="45"/>
  <c r="Z32" i="45" s="1"/>
  <c r="V32" i="45"/>
  <c r="N32" i="45"/>
  <c r="L32" i="45"/>
  <c r="B32" i="45"/>
  <c r="X31" i="45"/>
  <c r="Z31" i="45" s="1"/>
  <c r="V31" i="45"/>
  <c r="L31" i="45"/>
  <c r="N31" i="45" s="1"/>
  <c r="B31" i="45"/>
  <c r="Z30" i="45"/>
  <c r="X30" i="45"/>
  <c r="V30" i="45"/>
  <c r="L30" i="45"/>
  <c r="N30" i="45" s="1"/>
  <c r="B30" i="45"/>
  <c r="X29" i="45"/>
  <c r="Z29" i="45" s="1"/>
  <c r="N29" i="45"/>
  <c r="L29" i="45"/>
  <c r="B29" i="45"/>
  <c r="T28" i="45"/>
  <c r="P28" i="45"/>
  <c r="X28" i="45" s="1"/>
  <c r="Z28" i="45" s="1"/>
  <c r="N28" i="45"/>
  <c r="L28" i="45"/>
  <c r="H28" i="45"/>
  <c r="D28" i="45"/>
  <c r="B28" i="45"/>
  <c r="T27" i="45" a="1"/>
  <c r="T27" i="45" s="1"/>
  <c r="P27" i="45" a="1"/>
  <c r="P27" i="45" s="1"/>
  <c r="H27" i="45" a="1"/>
  <c r="H27" i="45" s="1"/>
  <c r="D27" i="45" a="1"/>
  <c r="D27" i="45" s="1"/>
  <c r="L27" i="45" s="1"/>
  <c r="T25" i="45"/>
  <c r="H25" i="45"/>
  <c r="Z23" i="45"/>
  <c r="X23" i="45"/>
  <c r="V23" i="45"/>
  <c r="N23" i="45"/>
  <c r="L23" i="45"/>
  <c r="B23" i="45"/>
  <c r="Z22" i="45"/>
  <c r="X22" i="45"/>
  <c r="N22" i="45"/>
  <c r="L22" i="45"/>
  <c r="B22" i="45"/>
  <c r="Z21" i="45"/>
  <c r="X21" i="45"/>
  <c r="V21" i="45"/>
  <c r="L21" i="45"/>
  <c r="N21" i="45" s="1"/>
  <c r="B21" i="45"/>
  <c r="V20" i="45"/>
  <c r="T20" i="45"/>
  <c r="P20" i="45"/>
  <c r="L20" i="45"/>
  <c r="H20" i="45"/>
  <c r="N20" i="45" s="1"/>
  <c r="D20" i="45"/>
  <c r="Z18" i="45"/>
  <c r="P18" i="45"/>
  <c r="X18" i="45" s="1"/>
  <c r="N18" i="45"/>
  <c r="D18" i="45"/>
  <c r="L18" i="45" s="1"/>
  <c r="B18" i="45"/>
  <c r="Z17" i="45"/>
  <c r="X17" i="45"/>
  <c r="P17" i="45"/>
  <c r="N17" i="45"/>
  <c r="L17" i="45"/>
  <c r="D17" i="45"/>
  <c r="B17" i="45"/>
  <c r="Z16" i="45"/>
  <c r="P16" i="45"/>
  <c r="X16" i="45" s="1"/>
  <c r="N16" i="45"/>
  <c r="D16" i="45"/>
  <c r="L16" i="45" s="1"/>
  <c r="B16" i="45"/>
  <c r="X15" i="45"/>
  <c r="Z15" i="45" s="1"/>
  <c r="P15" i="45"/>
  <c r="D15" i="45"/>
  <c r="L15" i="45" s="1"/>
  <c r="N15" i="45" s="1"/>
  <c r="B15" i="45"/>
  <c r="Z14" i="45"/>
  <c r="P14" i="45"/>
  <c r="N14" i="45"/>
  <c r="L14" i="45"/>
  <c r="D14" i="45"/>
  <c r="B14" i="45"/>
  <c r="Z13" i="45"/>
  <c r="P13" i="45"/>
  <c r="X13" i="45" s="1"/>
  <c r="N13" i="45"/>
  <c r="D13" i="45"/>
  <c r="D12" i="45" s="1"/>
  <c r="F65" i="45" s="1"/>
  <c r="B13" i="45"/>
  <c r="T12" i="45"/>
  <c r="V93" i="45" s="1"/>
  <c r="H12" i="45"/>
  <c r="J97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0" i="44" s="1"/>
  <c r="P12" i="44"/>
  <c r="R36" i="44" s="1"/>
  <c r="H12" i="44"/>
  <c r="J34" i="44" s="1"/>
  <c r="D12" i="44"/>
  <c r="F20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D13" i="43"/>
  <c r="B13" i="43"/>
  <c r="T12" i="43"/>
  <c r="V15" i="43" s="1"/>
  <c r="P12" i="43"/>
  <c r="R31" i="43" s="1"/>
  <c r="H12" i="43"/>
  <c r="D12" i="43"/>
  <c r="F22" i="43" s="1"/>
  <c r="D5" i="43"/>
  <c r="D4" i="43"/>
  <c r="X116" i="42"/>
  <c r="Z116" i="42" s="1"/>
  <c r="N116" i="42"/>
  <c r="L116" i="42"/>
  <c r="Z112" i="42"/>
  <c r="P112" i="42"/>
  <c r="X112" i="42" s="1"/>
  <c r="N112" i="42"/>
  <c r="L112" i="42"/>
  <c r="J112" i="42"/>
  <c r="D112" i="42"/>
  <c r="B112" i="42"/>
  <c r="V111" i="42"/>
  <c r="P111" i="42"/>
  <c r="X111" i="42" s="1"/>
  <c r="Z111" i="42" s="1"/>
  <c r="D111" i="42"/>
  <c r="L111" i="42" s="1"/>
  <c r="N111" i="42" s="1"/>
  <c r="B111" i="42"/>
  <c r="X110" i="42"/>
  <c r="Z110" i="42" s="1"/>
  <c r="P110" i="42"/>
  <c r="J110" i="42"/>
  <c r="D110" i="42"/>
  <c r="L110" i="42" s="1"/>
  <c r="N110" i="42" s="1"/>
  <c r="B110" i="42"/>
  <c r="P109" i="42"/>
  <c r="N109" i="42"/>
  <c r="L109" i="42"/>
  <c r="D109" i="42"/>
  <c r="B109" i="42"/>
  <c r="T108" i="42"/>
  <c r="H108" i="42"/>
  <c r="D108" i="42"/>
  <c r="Z106" i="42"/>
  <c r="X106" i="42"/>
  <c r="L106" i="42"/>
  <c r="N106" i="42" s="1"/>
  <c r="B106" i="42"/>
  <c r="X105" i="42"/>
  <c r="Z105" i="42" s="1"/>
  <c r="T105" i="42"/>
  <c r="P105" i="42"/>
  <c r="H105" i="42"/>
  <c r="L105" i="42" s="1"/>
  <c r="N105" i="42" s="1"/>
  <c r="D105" i="42"/>
  <c r="B105" i="42"/>
  <c r="Z104" i="42"/>
  <c r="X104" i="42"/>
  <c r="N104" i="42"/>
  <c r="L104" i="42"/>
  <c r="B104" i="42"/>
  <c r="Z103" i="42"/>
  <c r="X103" i="42"/>
  <c r="N103" i="42"/>
  <c r="L103" i="42"/>
  <c r="J103" i="42"/>
  <c r="B103" i="42"/>
  <c r="T102" i="42"/>
  <c r="P102" i="42"/>
  <c r="X102" i="42" s="1"/>
  <c r="Z102" i="42" s="1"/>
  <c r="N102" i="42"/>
  <c r="L102" i="42"/>
  <c r="H102" i="42"/>
  <c r="D102" i="42"/>
  <c r="B102" i="42"/>
  <c r="Z101" i="42"/>
  <c r="X101" i="42"/>
  <c r="V101" i="42"/>
  <c r="N101" i="42"/>
  <c r="L101" i="42"/>
  <c r="B101" i="42"/>
  <c r="X100" i="42"/>
  <c r="Z100" i="42" s="1"/>
  <c r="T100" i="42"/>
  <c r="P100" i="42"/>
  <c r="L100" i="42"/>
  <c r="H100" i="42"/>
  <c r="N100" i="42" s="1"/>
  <c r="D100" i="42"/>
  <c r="B100" i="42"/>
  <c r="Z99" i="42"/>
  <c r="X99" i="42"/>
  <c r="V99" i="42"/>
  <c r="N99" i="42"/>
  <c r="L99" i="42"/>
  <c r="B99" i="42"/>
  <c r="X98" i="42"/>
  <c r="Z98" i="42" s="1"/>
  <c r="L98" i="42"/>
  <c r="N98" i="42" s="1"/>
  <c r="B98" i="42"/>
  <c r="Z97" i="42"/>
  <c r="V97" i="42"/>
  <c r="T97" i="42"/>
  <c r="P97" i="42"/>
  <c r="X97" i="42" s="1"/>
  <c r="J97" i="42"/>
  <c r="H97" i="42"/>
  <c r="N97" i="42" s="1"/>
  <c r="D97" i="42"/>
  <c r="L97" i="42" s="1"/>
  <c r="B97" i="42"/>
  <c r="Z96" i="42"/>
  <c r="X96" i="42"/>
  <c r="N96" i="42"/>
  <c r="L96" i="42"/>
  <c r="B96" i="42"/>
  <c r="Z95" i="42"/>
  <c r="X95" i="42"/>
  <c r="V95" i="42"/>
  <c r="N95" i="42"/>
  <c r="L95" i="42"/>
  <c r="B95" i="42"/>
  <c r="X94" i="42"/>
  <c r="Z94" i="42" s="1"/>
  <c r="N94" i="42"/>
  <c r="L94" i="42"/>
  <c r="B94" i="42"/>
  <c r="Z93" i="42"/>
  <c r="X93" i="42"/>
  <c r="V93" i="42"/>
  <c r="L93" i="42"/>
  <c r="N93" i="42" s="1"/>
  <c r="B93" i="42"/>
  <c r="X92" i="42"/>
  <c r="Z92" i="42" s="1"/>
  <c r="N92" i="42"/>
  <c r="L92" i="42"/>
  <c r="B92" i="42"/>
  <c r="Z91" i="42"/>
  <c r="X91" i="42"/>
  <c r="N91" i="42"/>
  <c r="L91" i="42"/>
  <c r="J91" i="42"/>
  <c r="B91" i="42"/>
  <c r="Z90" i="42"/>
  <c r="X90" i="42"/>
  <c r="N90" i="42"/>
  <c r="L90" i="42"/>
  <c r="B90" i="42"/>
  <c r="X89" i="42"/>
  <c r="Z89" i="42" s="1"/>
  <c r="N89" i="42"/>
  <c r="L89" i="42"/>
  <c r="J89" i="42"/>
  <c r="B89" i="42"/>
  <c r="Z88" i="42"/>
  <c r="X88" i="42"/>
  <c r="L88" i="42"/>
  <c r="N88" i="42" s="1"/>
  <c r="B88" i="42"/>
  <c r="Z87" i="42"/>
  <c r="X87" i="42"/>
  <c r="V87" i="42"/>
  <c r="N87" i="42"/>
  <c r="L87" i="42"/>
  <c r="B87" i="42"/>
  <c r="X86" i="42"/>
  <c r="T86" i="42"/>
  <c r="P86" i="42"/>
  <c r="H86" i="42"/>
  <c r="D86" i="42"/>
  <c r="B86" i="42"/>
  <c r="X85" i="42"/>
  <c r="Z85" i="42" s="1"/>
  <c r="N85" i="42"/>
  <c r="L85" i="42"/>
  <c r="J85" i="42"/>
  <c r="B85" i="42"/>
  <c r="T84" i="42"/>
  <c r="P84" i="42"/>
  <c r="H84" i="42"/>
  <c r="N84" i="42" s="1"/>
  <c r="D84" i="42"/>
  <c r="L84" i="42" s="1"/>
  <c r="B84" i="42"/>
  <c r="Z83" i="42"/>
  <c r="X83" i="42"/>
  <c r="N83" i="42"/>
  <c r="L83" i="42"/>
  <c r="J83" i="42"/>
  <c r="B83" i="42"/>
  <c r="X82" i="42"/>
  <c r="Z82" i="42" s="1"/>
  <c r="L82" i="42"/>
  <c r="N82" i="42" s="1"/>
  <c r="B82" i="42"/>
  <c r="X81" i="42"/>
  <c r="Z81" i="42" s="1"/>
  <c r="N81" i="42"/>
  <c r="L81" i="42"/>
  <c r="J81" i="42"/>
  <c r="B81" i="42"/>
  <c r="Z80" i="42"/>
  <c r="X80" i="42"/>
  <c r="L80" i="42"/>
  <c r="N80" i="42" s="1"/>
  <c r="B80" i="42"/>
  <c r="Z79" i="42"/>
  <c r="X79" i="42"/>
  <c r="V79" i="42"/>
  <c r="N79" i="42"/>
  <c r="L79" i="42"/>
  <c r="B79" i="42"/>
  <c r="T78" i="42"/>
  <c r="P78" i="42"/>
  <c r="H78" i="42"/>
  <c r="D78" i="42"/>
  <c r="B78" i="42"/>
  <c r="Z77" i="42"/>
  <c r="X77" i="42"/>
  <c r="N77" i="42"/>
  <c r="L77" i="42"/>
  <c r="J77" i="42"/>
  <c r="B77" i="42"/>
  <c r="T76" i="42"/>
  <c r="Z76" i="42" s="1"/>
  <c r="P76" i="42"/>
  <c r="X76" i="42" s="1"/>
  <c r="H76" i="42"/>
  <c r="N76" i="42" s="1"/>
  <c r="D76" i="42"/>
  <c r="L76" i="42" s="1"/>
  <c r="B76" i="42"/>
  <c r="Z75" i="42"/>
  <c r="X75" i="42"/>
  <c r="N75" i="42"/>
  <c r="L75" i="42"/>
  <c r="J75" i="42"/>
  <c r="B75" i="42"/>
  <c r="X74" i="42"/>
  <c r="Z74" i="42" s="1"/>
  <c r="L74" i="42"/>
  <c r="N74" i="42" s="1"/>
  <c r="B74" i="42"/>
  <c r="X73" i="42"/>
  <c r="Z73" i="42" s="1"/>
  <c r="N73" i="42"/>
  <c r="L73" i="42"/>
  <c r="J73" i="42"/>
  <c r="B73" i="42"/>
  <c r="Z72" i="42"/>
  <c r="X72" i="42"/>
  <c r="N72" i="42"/>
  <c r="L72" i="42"/>
  <c r="B72" i="42"/>
  <c r="V71" i="42"/>
  <c r="T71" i="42"/>
  <c r="P71" i="42"/>
  <c r="X71" i="42" s="1"/>
  <c r="L71" i="42"/>
  <c r="N71" i="42" s="1"/>
  <c r="H71" i="42"/>
  <c r="D71" i="42"/>
  <c r="B71" i="42"/>
  <c r="X70" i="42"/>
  <c r="Z70" i="42" s="1"/>
  <c r="L70" i="42"/>
  <c r="N70" i="42" s="1"/>
  <c r="B70" i="42"/>
  <c r="X69" i="42"/>
  <c r="Z69" i="42" s="1"/>
  <c r="T69" i="42"/>
  <c r="P69" i="42"/>
  <c r="N69" i="42"/>
  <c r="H69" i="42"/>
  <c r="L69" i="42" s="1"/>
  <c r="D69" i="42"/>
  <c r="B69" i="42"/>
  <c r="X68" i="42"/>
  <c r="Z68" i="42" s="1"/>
  <c r="N68" i="42"/>
  <c r="L68" i="42"/>
  <c r="B68" i="42"/>
  <c r="T67" i="42"/>
  <c r="X67" i="42" s="1"/>
  <c r="Z67" i="42" s="1"/>
  <c r="P67" i="42"/>
  <c r="J67" i="42"/>
  <c r="H67" i="42"/>
  <c r="D67" i="42"/>
  <c r="L67" i="42" s="1"/>
  <c r="N67" i="42" s="1"/>
  <c r="B67" i="42"/>
  <c r="X66" i="42"/>
  <c r="Z66" i="42" s="1"/>
  <c r="N66" i="42"/>
  <c r="L66" i="42"/>
  <c r="B66" i="42"/>
  <c r="Z65" i="42"/>
  <c r="V65" i="42"/>
  <c r="T65" i="42"/>
  <c r="P65" i="42"/>
  <c r="X65" i="42" s="1"/>
  <c r="J65" i="42"/>
  <c r="H65" i="42"/>
  <c r="N65" i="42" s="1"/>
  <c r="D65" i="42"/>
  <c r="L65" i="42" s="1"/>
  <c r="B65" i="42"/>
  <c r="Z64" i="42"/>
  <c r="X64" i="42"/>
  <c r="N64" i="42"/>
  <c r="L64" i="42"/>
  <c r="B64" i="42"/>
  <c r="X63" i="42"/>
  <c r="Z63" i="42" s="1"/>
  <c r="V63" i="42"/>
  <c r="N63" i="42"/>
  <c r="L63" i="42"/>
  <c r="B63" i="42"/>
  <c r="X62" i="42"/>
  <c r="T62" i="42"/>
  <c r="P62" i="42"/>
  <c r="H62" i="42"/>
  <c r="N62" i="42" s="1"/>
  <c r="D62" i="42"/>
  <c r="L62" i="42" s="1"/>
  <c r="B62" i="42"/>
  <c r="X61" i="42"/>
  <c r="Z61" i="42" s="1"/>
  <c r="N61" i="42"/>
  <c r="L61" i="42"/>
  <c r="J61" i="42"/>
  <c r="B61" i="42"/>
  <c r="T60" i="42"/>
  <c r="P60" i="42"/>
  <c r="X60" i="42" s="1"/>
  <c r="H60" i="42"/>
  <c r="D60" i="42"/>
  <c r="L60" i="42" s="1"/>
  <c r="N60" i="42" s="1"/>
  <c r="B60" i="42"/>
  <c r="Z59" i="42"/>
  <c r="X59" i="42"/>
  <c r="N59" i="42"/>
  <c r="L59" i="42"/>
  <c r="J59" i="42"/>
  <c r="B59" i="42"/>
  <c r="T58" i="42"/>
  <c r="P58" i="42"/>
  <c r="X58" i="42" s="1"/>
  <c r="Z58" i="42" s="1"/>
  <c r="L58" i="42"/>
  <c r="N58" i="42" s="1"/>
  <c r="H58" i="42"/>
  <c r="D58" i="42"/>
  <c r="B58" i="42"/>
  <c r="Z57" i="42"/>
  <c r="X57" i="42"/>
  <c r="V57" i="42"/>
  <c r="L57" i="42"/>
  <c r="N57" i="42" s="1"/>
  <c r="B57" i="42"/>
  <c r="Z56" i="42"/>
  <c r="X56" i="42"/>
  <c r="N56" i="42"/>
  <c r="L56" i="42"/>
  <c r="B56" i="42"/>
  <c r="T55" i="42"/>
  <c r="X55" i="42" s="1"/>
  <c r="Z55" i="42" s="1"/>
  <c r="P55" i="42"/>
  <c r="J55" i="42"/>
  <c r="H55" i="42"/>
  <c r="D55" i="42"/>
  <c r="L55" i="42" s="1"/>
  <c r="N55" i="42" s="1"/>
  <c r="B55" i="42"/>
  <c r="X54" i="42"/>
  <c r="Z54" i="42" s="1"/>
  <c r="N54" i="42"/>
  <c r="L54" i="42"/>
  <c r="B54" i="42"/>
  <c r="Z53" i="42"/>
  <c r="V53" i="42"/>
  <c r="T53" i="42"/>
  <c r="P53" i="42"/>
  <c r="X53" i="42" s="1"/>
  <c r="J53" i="42"/>
  <c r="H53" i="42"/>
  <c r="N53" i="42" s="1"/>
  <c r="D53" i="42"/>
  <c r="L53" i="42" s="1"/>
  <c r="B53" i="42"/>
  <c r="Z52" i="42"/>
  <c r="X52" i="42"/>
  <c r="L52" i="42"/>
  <c r="N52" i="42" s="1"/>
  <c r="B52" i="42"/>
  <c r="V51" i="42"/>
  <c r="T51" i="42"/>
  <c r="P51" i="42"/>
  <c r="X51" i="42" s="1"/>
  <c r="L51" i="42"/>
  <c r="N51" i="42" s="1"/>
  <c r="H51" i="42"/>
  <c r="D51" i="42"/>
  <c r="B51" i="42"/>
  <c r="Z50" i="42"/>
  <c r="X50" i="42"/>
  <c r="N50" i="42"/>
  <c r="L50" i="42"/>
  <c r="B50" i="42"/>
  <c r="Z49" i="42"/>
  <c r="X49" i="42"/>
  <c r="T49" i="42"/>
  <c r="P49" i="42"/>
  <c r="N49" i="42"/>
  <c r="H49" i="42"/>
  <c r="L49" i="42" s="1"/>
  <c r="D49" i="42"/>
  <c r="B49" i="42"/>
  <c r="Z48" i="42"/>
  <c r="X48" i="42"/>
  <c r="N48" i="42"/>
  <c r="L48" i="42"/>
  <c r="B48" i="42"/>
  <c r="Z47" i="42"/>
  <c r="X47" i="42"/>
  <c r="N47" i="42"/>
  <c r="L47" i="42"/>
  <c r="J47" i="42"/>
  <c r="B47" i="42"/>
  <c r="Z46" i="42"/>
  <c r="X46" i="42"/>
  <c r="L46" i="42"/>
  <c r="N46" i="42" s="1"/>
  <c r="B46" i="42"/>
  <c r="X45" i="42"/>
  <c r="Z45" i="42" s="1"/>
  <c r="N45" i="42"/>
  <c r="L45" i="42"/>
  <c r="J45" i="42"/>
  <c r="B45" i="42"/>
  <c r="Z44" i="42"/>
  <c r="X44" i="42"/>
  <c r="N44" i="42"/>
  <c r="L44" i="42"/>
  <c r="B44" i="42"/>
  <c r="X43" i="42"/>
  <c r="Z43" i="42" s="1"/>
  <c r="V43" i="42"/>
  <c r="N43" i="42"/>
  <c r="L43" i="42"/>
  <c r="B43" i="42"/>
  <c r="X42" i="42"/>
  <c r="Z42" i="42" s="1"/>
  <c r="N42" i="42"/>
  <c r="L42" i="42"/>
  <c r="B42" i="42"/>
  <c r="Z41" i="42"/>
  <c r="X41" i="42"/>
  <c r="V41" i="42"/>
  <c r="N41" i="42"/>
  <c r="L41" i="42"/>
  <c r="B41" i="42"/>
  <c r="X40" i="42"/>
  <c r="Z40" i="42" s="1"/>
  <c r="N40" i="42"/>
  <c r="L40" i="42"/>
  <c r="B40" i="42"/>
  <c r="Z39" i="42"/>
  <c r="X39" i="42"/>
  <c r="L39" i="42"/>
  <c r="N39" i="42" s="1"/>
  <c r="J39" i="42"/>
  <c r="B39" i="42"/>
  <c r="T38" i="42"/>
  <c r="P38" i="42"/>
  <c r="X38" i="42" s="1"/>
  <c r="Z38" i="42" s="1"/>
  <c r="L38" i="42"/>
  <c r="N38" i="42" s="1"/>
  <c r="H38" i="42"/>
  <c r="D38" i="42"/>
  <c r="B38" i="42"/>
  <c r="Z37" i="42"/>
  <c r="X37" i="42"/>
  <c r="V37" i="42"/>
  <c r="L37" i="42"/>
  <c r="N37" i="42" s="1"/>
  <c r="B37" i="42"/>
  <c r="X36" i="42"/>
  <c r="Z36" i="42" s="1"/>
  <c r="N36" i="42"/>
  <c r="L36" i="42"/>
  <c r="B36" i="42"/>
  <c r="Z35" i="42"/>
  <c r="X35" i="42"/>
  <c r="L35" i="42"/>
  <c r="N35" i="42" s="1"/>
  <c r="J35" i="42"/>
  <c r="B35" i="42"/>
  <c r="Z34" i="42"/>
  <c r="X34" i="42"/>
  <c r="N34" i="42"/>
  <c r="L34" i="42"/>
  <c r="B34" i="42"/>
  <c r="Z33" i="42"/>
  <c r="X33" i="42"/>
  <c r="N33" i="42"/>
  <c r="L33" i="42"/>
  <c r="J33" i="42"/>
  <c r="B33" i="42"/>
  <c r="Z32" i="42"/>
  <c r="X32" i="42"/>
  <c r="L32" i="42"/>
  <c r="N32" i="42" s="1"/>
  <c r="B32" i="42"/>
  <c r="X31" i="42"/>
  <c r="Z31" i="42" s="1"/>
  <c r="V31" i="42"/>
  <c r="N31" i="42"/>
  <c r="L31" i="42"/>
  <c r="B31" i="42"/>
  <c r="X30" i="42"/>
  <c r="Z30" i="42" s="1"/>
  <c r="N30" i="42"/>
  <c r="L30" i="42"/>
  <c r="J30" i="42"/>
  <c r="B30" i="42"/>
  <c r="Z29" i="42"/>
  <c r="X29" i="42"/>
  <c r="V29" i="42"/>
  <c r="L29" i="42"/>
  <c r="N29" i="42" s="1"/>
  <c r="B29" i="42"/>
  <c r="X28" i="42"/>
  <c r="Z28" i="42" s="1"/>
  <c r="N28" i="42"/>
  <c r="L28" i="42"/>
  <c r="B28" i="42"/>
  <c r="T27" i="42"/>
  <c r="X27" i="42" s="1"/>
  <c r="Z27" i="42" s="1"/>
  <c r="P27" i="42"/>
  <c r="N27" i="42"/>
  <c r="J27" i="42"/>
  <c r="H27" i="42"/>
  <c r="D27" i="42"/>
  <c r="L27" i="42" s="1"/>
  <c r="B27" i="42"/>
  <c r="T26" i="42" a="1"/>
  <c r="T26" i="42" s="1"/>
  <c r="P26" i="42" a="1"/>
  <c r="P26" i="42" s="1"/>
  <c r="X26" i="42" s="1"/>
  <c r="H26" i="42" a="1"/>
  <c r="H26" i="42" s="1"/>
  <c r="D26" i="42" a="1"/>
  <c r="D26" i="42" s="1"/>
  <c r="L26" i="42" s="1"/>
  <c r="T24" i="42"/>
  <c r="H24" i="42"/>
  <c r="Z22" i="42"/>
  <c r="X22" i="42"/>
  <c r="V22" i="42"/>
  <c r="N22" i="42"/>
  <c r="L22" i="42"/>
  <c r="B22" i="42"/>
  <c r="Z21" i="42"/>
  <c r="X21" i="42"/>
  <c r="N21" i="42"/>
  <c r="L21" i="42"/>
  <c r="J21" i="42"/>
  <c r="B21" i="42"/>
  <c r="Z20" i="42"/>
  <c r="X20" i="42"/>
  <c r="L20" i="42"/>
  <c r="N20" i="42" s="1"/>
  <c r="B20" i="42"/>
  <c r="V19" i="42"/>
  <c r="T19" i="42"/>
  <c r="Z19" i="42" s="1"/>
  <c r="P19" i="42"/>
  <c r="X19" i="42" s="1"/>
  <c r="L19" i="42"/>
  <c r="N19" i="42" s="1"/>
  <c r="H19" i="42"/>
  <c r="D19" i="42"/>
  <c r="Z17" i="42"/>
  <c r="P17" i="42"/>
  <c r="X17" i="42" s="1"/>
  <c r="N17" i="42"/>
  <c r="D17" i="42"/>
  <c r="L17" i="42" s="1"/>
  <c r="B17" i="42"/>
  <c r="X16" i="42"/>
  <c r="Z16" i="42" s="1"/>
  <c r="P16" i="42"/>
  <c r="L16" i="42"/>
  <c r="N16" i="42" s="1"/>
  <c r="D16" i="42"/>
  <c r="B16" i="42"/>
  <c r="Z15" i="42"/>
  <c r="P15" i="42"/>
  <c r="X15" i="42" s="1"/>
  <c r="N15" i="42"/>
  <c r="D15" i="42"/>
  <c r="L15" i="42" s="1"/>
  <c r="B15" i="42"/>
  <c r="Z14" i="42"/>
  <c r="X14" i="42"/>
  <c r="P14" i="42"/>
  <c r="N14" i="42"/>
  <c r="D14" i="42"/>
  <c r="L14" i="42" s="1"/>
  <c r="B14" i="42"/>
  <c r="P13" i="42"/>
  <c r="X13" i="42" s="1"/>
  <c r="Z13" i="42" s="1"/>
  <c r="L13" i="42"/>
  <c r="N13" i="42" s="1"/>
  <c r="D13" i="42"/>
  <c r="B13" i="42"/>
  <c r="T12" i="42"/>
  <c r="V110" i="42" s="1"/>
  <c r="H12" i="42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2" i="41" s="1"/>
  <c r="P12" i="41"/>
  <c r="R34" i="41" s="1"/>
  <c r="H12" i="41"/>
  <c r="J20" i="41" s="1"/>
  <c r="D12" i="4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4" i="40" s="1"/>
  <c r="P12" i="40"/>
  <c r="R21" i="40" s="1"/>
  <c r="H12" i="40"/>
  <c r="J22" i="40" s="1"/>
  <c r="D12" i="40"/>
  <c r="D5" i="40"/>
  <c r="D4" i="40"/>
  <c r="X118" i="39"/>
  <c r="Z118" i="39" s="1"/>
  <c r="N118" i="39"/>
  <c r="L118" i="39"/>
  <c r="Z114" i="39"/>
  <c r="X114" i="39"/>
  <c r="P114" i="39"/>
  <c r="N114" i="39"/>
  <c r="D114" i="39"/>
  <c r="L114" i="39" s="1"/>
  <c r="B114" i="39"/>
  <c r="P113" i="39"/>
  <c r="P110" i="39" s="1"/>
  <c r="X110" i="39" s="1"/>
  <c r="N113" i="39"/>
  <c r="L113" i="39"/>
  <c r="D113" i="39"/>
  <c r="B113" i="39"/>
  <c r="X112" i="39"/>
  <c r="Z112" i="39" s="1"/>
  <c r="P112" i="39"/>
  <c r="D112" i="39"/>
  <c r="L112" i="39" s="1"/>
  <c r="N112" i="39" s="1"/>
  <c r="B112" i="39"/>
  <c r="P111" i="39"/>
  <c r="X111" i="39" s="1"/>
  <c r="Z111" i="39" s="1"/>
  <c r="N111" i="39"/>
  <c r="L111" i="39"/>
  <c r="D111" i="39"/>
  <c r="B111" i="39"/>
  <c r="T110" i="39"/>
  <c r="Z110" i="39" s="1"/>
  <c r="H110" i="39"/>
  <c r="N110" i="39" s="1"/>
  <c r="D110" i="39"/>
  <c r="L110" i="39" s="1"/>
  <c r="Z108" i="39"/>
  <c r="X108" i="39"/>
  <c r="L108" i="39"/>
  <c r="N108" i="39" s="1"/>
  <c r="B108" i="39"/>
  <c r="T107" i="39"/>
  <c r="X107" i="39" s="1"/>
  <c r="Z107" i="39" s="1"/>
  <c r="P107" i="39"/>
  <c r="N107" i="39"/>
  <c r="L107" i="39"/>
  <c r="H107" i="39"/>
  <c r="D107" i="39"/>
  <c r="B107" i="39"/>
  <c r="Z106" i="39"/>
  <c r="X106" i="39"/>
  <c r="N106" i="39"/>
  <c r="L106" i="39"/>
  <c r="B106" i="39"/>
  <c r="Z105" i="39"/>
  <c r="X105" i="39"/>
  <c r="N105" i="39"/>
  <c r="L105" i="39"/>
  <c r="B105" i="39"/>
  <c r="T104" i="39"/>
  <c r="P104" i="39"/>
  <c r="X104" i="39" s="1"/>
  <c r="Z104" i="39" s="1"/>
  <c r="L104" i="39"/>
  <c r="H104" i="39"/>
  <c r="N104" i="39" s="1"/>
  <c r="D104" i="39"/>
  <c r="B104" i="39"/>
  <c r="Z103" i="39"/>
  <c r="X103" i="39"/>
  <c r="N103" i="39"/>
  <c r="L103" i="39"/>
  <c r="B103" i="39"/>
  <c r="X102" i="39"/>
  <c r="T102" i="39"/>
  <c r="Z102" i="39" s="1"/>
  <c r="P102" i="39"/>
  <c r="H102" i="39"/>
  <c r="N102" i="39" s="1"/>
  <c r="D102" i="39"/>
  <c r="B102" i="39"/>
  <c r="Z101" i="39"/>
  <c r="X101" i="39"/>
  <c r="N101" i="39"/>
  <c r="L101" i="39"/>
  <c r="B101" i="39"/>
  <c r="X100" i="39"/>
  <c r="Z100" i="39" s="1"/>
  <c r="N100" i="39"/>
  <c r="L100" i="39"/>
  <c r="B100" i="39"/>
  <c r="T99" i="39"/>
  <c r="Z99" i="39" s="1"/>
  <c r="P99" i="39"/>
  <c r="X99" i="39" s="1"/>
  <c r="H99" i="39"/>
  <c r="D99" i="39"/>
  <c r="L99" i="39" s="1"/>
  <c r="N99" i="39" s="1"/>
  <c r="B99" i="39"/>
  <c r="X98" i="39"/>
  <c r="Z98" i="39" s="1"/>
  <c r="N98" i="39"/>
  <c r="L98" i="39"/>
  <c r="B98" i="39"/>
  <c r="Z97" i="39"/>
  <c r="X97" i="39"/>
  <c r="N97" i="39"/>
  <c r="L97" i="39"/>
  <c r="B97" i="39"/>
  <c r="X96" i="39"/>
  <c r="Z96" i="39" s="1"/>
  <c r="N96" i="39"/>
  <c r="L96" i="39"/>
  <c r="B96" i="39"/>
  <c r="Z95" i="39"/>
  <c r="X95" i="39"/>
  <c r="N95" i="39"/>
  <c r="L95" i="39"/>
  <c r="B95" i="39"/>
  <c r="X94" i="39"/>
  <c r="Z94" i="39" s="1"/>
  <c r="L94" i="39"/>
  <c r="N94" i="39" s="1"/>
  <c r="B94" i="39"/>
  <c r="Z93" i="39"/>
  <c r="X93" i="39"/>
  <c r="N93" i="39"/>
  <c r="L93" i="39"/>
  <c r="B93" i="39"/>
  <c r="Z92" i="39"/>
  <c r="X92" i="39"/>
  <c r="N92" i="39"/>
  <c r="L92" i="39"/>
  <c r="B92" i="39"/>
  <c r="Z91" i="39"/>
  <c r="X91" i="39"/>
  <c r="N91" i="39"/>
  <c r="L91" i="39"/>
  <c r="B91" i="39"/>
  <c r="X90" i="39"/>
  <c r="Z90" i="39" s="1"/>
  <c r="L90" i="39"/>
  <c r="N90" i="39" s="1"/>
  <c r="B90" i="39"/>
  <c r="Z89" i="39"/>
  <c r="X89" i="39"/>
  <c r="N89" i="39"/>
  <c r="L89" i="39"/>
  <c r="B89" i="39"/>
  <c r="T88" i="39"/>
  <c r="P88" i="39"/>
  <c r="X88" i="39" s="1"/>
  <c r="H88" i="39"/>
  <c r="N88" i="39" s="1"/>
  <c r="D88" i="39"/>
  <c r="L88" i="39" s="1"/>
  <c r="B88" i="39"/>
  <c r="Z87" i="39"/>
  <c r="X87" i="39"/>
  <c r="N87" i="39"/>
  <c r="L87" i="39"/>
  <c r="B87" i="39"/>
  <c r="T86" i="39"/>
  <c r="Z86" i="39" s="1"/>
  <c r="P86" i="39"/>
  <c r="X86" i="39" s="1"/>
  <c r="H86" i="39"/>
  <c r="D86" i="39"/>
  <c r="L86" i="39" s="1"/>
  <c r="B86" i="39"/>
  <c r="Z85" i="39"/>
  <c r="X85" i="39"/>
  <c r="N85" i="39"/>
  <c r="L85" i="39"/>
  <c r="B85" i="39"/>
  <c r="Z84" i="39"/>
  <c r="X84" i="39"/>
  <c r="L84" i="39"/>
  <c r="N84" i="39" s="1"/>
  <c r="B84" i="39"/>
  <c r="Z83" i="39"/>
  <c r="X83" i="39"/>
  <c r="N83" i="39"/>
  <c r="L83" i="39"/>
  <c r="B83" i="39"/>
  <c r="X82" i="39"/>
  <c r="Z82" i="39" s="1"/>
  <c r="L82" i="39"/>
  <c r="N82" i="39" s="1"/>
  <c r="B82" i="39"/>
  <c r="Z81" i="39"/>
  <c r="X81" i="39"/>
  <c r="N81" i="39"/>
  <c r="L81" i="39"/>
  <c r="B81" i="39"/>
  <c r="T80" i="39"/>
  <c r="P80" i="39"/>
  <c r="X80" i="39" s="1"/>
  <c r="H80" i="39"/>
  <c r="N80" i="39" s="1"/>
  <c r="D80" i="39"/>
  <c r="L80" i="39" s="1"/>
  <c r="B80" i="39"/>
  <c r="Z79" i="39"/>
  <c r="X79" i="39"/>
  <c r="N79" i="39"/>
  <c r="L79" i="39"/>
  <c r="B79" i="39"/>
  <c r="Z78" i="39"/>
  <c r="X78" i="39"/>
  <c r="N78" i="39"/>
  <c r="L78" i="39"/>
  <c r="B78" i="39"/>
  <c r="T77" i="39"/>
  <c r="P77" i="39"/>
  <c r="X77" i="39" s="1"/>
  <c r="Z77" i="39" s="1"/>
  <c r="H77" i="39"/>
  <c r="L77" i="39" s="1"/>
  <c r="N77" i="39" s="1"/>
  <c r="D77" i="39"/>
  <c r="B77" i="39"/>
  <c r="Z76" i="39"/>
  <c r="X76" i="39"/>
  <c r="L76" i="39"/>
  <c r="N76" i="39" s="1"/>
  <c r="B76" i="39"/>
  <c r="Z75" i="39"/>
  <c r="X75" i="39"/>
  <c r="N75" i="39"/>
  <c r="L75" i="39"/>
  <c r="B75" i="39"/>
  <c r="X74" i="39"/>
  <c r="Z74" i="39" s="1"/>
  <c r="N74" i="39"/>
  <c r="L74" i="39"/>
  <c r="B74" i="39"/>
  <c r="Z73" i="39"/>
  <c r="X73" i="39"/>
  <c r="N73" i="39"/>
  <c r="L73" i="39"/>
  <c r="B73" i="39"/>
  <c r="T72" i="39"/>
  <c r="Z72" i="39" s="1"/>
  <c r="P72" i="39"/>
  <c r="X72" i="39" s="1"/>
  <c r="H72" i="39"/>
  <c r="N72" i="39" s="1"/>
  <c r="D72" i="39"/>
  <c r="L72" i="39" s="1"/>
  <c r="B72" i="39"/>
  <c r="Z71" i="39"/>
  <c r="X71" i="39"/>
  <c r="N71" i="39"/>
  <c r="L71" i="39"/>
  <c r="B71" i="39"/>
  <c r="T70" i="39"/>
  <c r="Z70" i="39" s="1"/>
  <c r="P70" i="39"/>
  <c r="X70" i="39" s="1"/>
  <c r="H70" i="39"/>
  <c r="D70" i="39"/>
  <c r="B70" i="39"/>
  <c r="Z69" i="39"/>
  <c r="X69" i="39"/>
  <c r="N69" i="39"/>
  <c r="L69" i="39"/>
  <c r="B69" i="39"/>
  <c r="T68" i="39"/>
  <c r="P68" i="39"/>
  <c r="L68" i="39"/>
  <c r="H68" i="39"/>
  <c r="N68" i="39" s="1"/>
  <c r="D68" i="39"/>
  <c r="B68" i="39"/>
  <c r="Z67" i="39"/>
  <c r="X67" i="39"/>
  <c r="N67" i="39"/>
  <c r="L67" i="39"/>
  <c r="B67" i="39"/>
  <c r="X66" i="39"/>
  <c r="T66" i="39"/>
  <c r="Z66" i="39" s="1"/>
  <c r="P66" i="39"/>
  <c r="H66" i="39"/>
  <c r="N66" i="39" s="1"/>
  <c r="D66" i="39"/>
  <c r="L66" i="39" s="1"/>
  <c r="B66" i="39"/>
  <c r="Z65" i="39"/>
  <c r="X65" i="39"/>
  <c r="N65" i="39"/>
  <c r="L65" i="39"/>
  <c r="B65" i="39"/>
  <c r="X64" i="39"/>
  <c r="Z64" i="39" s="1"/>
  <c r="N64" i="39"/>
  <c r="L64" i="39"/>
  <c r="B64" i="39"/>
  <c r="T63" i="39"/>
  <c r="P63" i="39"/>
  <c r="X63" i="39" s="1"/>
  <c r="N63" i="39"/>
  <c r="H63" i="39"/>
  <c r="D63" i="39"/>
  <c r="L63" i="39" s="1"/>
  <c r="B63" i="39"/>
  <c r="X62" i="39"/>
  <c r="Z62" i="39" s="1"/>
  <c r="L62" i="39"/>
  <c r="N62" i="39" s="1"/>
  <c r="B62" i="39"/>
  <c r="T61" i="39"/>
  <c r="P61" i="39"/>
  <c r="X61" i="39" s="1"/>
  <c r="Z61" i="39" s="1"/>
  <c r="H61" i="39"/>
  <c r="L61" i="39" s="1"/>
  <c r="N61" i="39" s="1"/>
  <c r="D61" i="39"/>
  <c r="B61" i="39"/>
  <c r="X60" i="39"/>
  <c r="Z60" i="39" s="1"/>
  <c r="L60" i="39"/>
  <c r="N60" i="39" s="1"/>
  <c r="B60" i="39"/>
  <c r="T59" i="39"/>
  <c r="X59" i="39" s="1"/>
  <c r="Z59" i="39" s="1"/>
  <c r="P59" i="39"/>
  <c r="N59" i="39"/>
  <c r="L59" i="39"/>
  <c r="H59" i="39"/>
  <c r="D59" i="39"/>
  <c r="B59" i="39"/>
  <c r="X58" i="39"/>
  <c r="Z58" i="39" s="1"/>
  <c r="L58" i="39"/>
  <c r="N58" i="39" s="1"/>
  <c r="B58" i="39"/>
  <c r="Z57" i="39"/>
  <c r="X57" i="39"/>
  <c r="N57" i="39"/>
  <c r="L57" i="39"/>
  <c r="B57" i="39"/>
  <c r="T56" i="39"/>
  <c r="P56" i="39"/>
  <c r="L56" i="39"/>
  <c r="H56" i="39"/>
  <c r="N56" i="39" s="1"/>
  <c r="D56" i="39"/>
  <c r="B56" i="39"/>
  <c r="Z55" i="39"/>
  <c r="X55" i="39"/>
  <c r="N55" i="39"/>
  <c r="L55" i="39"/>
  <c r="B55" i="39"/>
  <c r="X54" i="39"/>
  <c r="T54" i="39"/>
  <c r="Z54" i="39" s="1"/>
  <c r="P54" i="39"/>
  <c r="H54" i="39"/>
  <c r="N54" i="39" s="1"/>
  <c r="D54" i="39"/>
  <c r="L54" i="39" s="1"/>
  <c r="B54" i="39"/>
  <c r="Z53" i="39"/>
  <c r="X53" i="39"/>
  <c r="N53" i="39"/>
  <c r="L53" i="39"/>
  <c r="B53" i="39"/>
  <c r="T52" i="39"/>
  <c r="Z52" i="39" s="1"/>
  <c r="P52" i="39"/>
  <c r="X52" i="39" s="1"/>
  <c r="H52" i="39"/>
  <c r="D52" i="39"/>
  <c r="L52" i="39" s="1"/>
  <c r="B52" i="39"/>
  <c r="Z51" i="39"/>
  <c r="X51" i="39"/>
  <c r="N51" i="39"/>
  <c r="L51" i="39"/>
  <c r="B51" i="39"/>
  <c r="T50" i="39"/>
  <c r="Z50" i="39" s="1"/>
  <c r="P50" i="39"/>
  <c r="X50" i="39" s="1"/>
  <c r="H50" i="39"/>
  <c r="N50" i="39" s="1"/>
  <c r="D50" i="39"/>
  <c r="B50" i="39"/>
  <c r="Z49" i="39"/>
  <c r="X49" i="39"/>
  <c r="N49" i="39"/>
  <c r="L49" i="39"/>
  <c r="B49" i="39"/>
  <c r="Z48" i="39"/>
  <c r="X48" i="39"/>
  <c r="N48" i="39"/>
  <c r="L48" i="39"/>
  <c r="B48" i="39"/>
  <c r="Z47" i="39"/>
  <c r="X47" i="39"/>
  <c r="N47" i="39"/>
  <c r="L47" i="39"/>
  <c r="B47" i="39"/>
  <c r="X46" i="39"/>
  <c r="Z46" i="39" s="1"/>
  <c r="L46" i="39"/>
  <c r="N46" i="39" s="1"/>
  <c r="B46" i="39"/>
  <c r="Z45" i="39"/>
  <c r="X45" i="39"/>
  <c r="N45" i="39"/>
  <c r="L45" i="39"/>
  <c r="B45" i="39"/>
  <c r="X44" i="39"/>
  <c r="Z44" i="39" s="1"/>
  <c r="L44" i="39"/>
  <c r="N44" i="39" s="1"/>
  <c r="B44" i="39"/>
  <c r="Z43" i="39"/>
  <c r="X43" i="39"/>
  <c r="V43" i="39"/>
  <c r="N43" i="39"/>
  <c r="L43" i="39"/>
  <c r="B43" i="39"/>
  <c r="Z42" i="39"/>
  <c r="X42" i="39"/>
  <c r="N42" i="39"/>
  <c r="L42" i="39"/>
  <c r="B42" i="39"/>
  <c r="Z41" i="39"/>
  <c r="X41" i="39"/>
  <c r="V41" i="39"/>
  <c r="N41" i="39"/>
  <c r="L41" i="39"/>
  <c r="B41" i="39"/>
  <c r="X40" i="39"/>
  <c r="Z40" i="39" s="1"/>
  <c r="L40" i="39"/>
  <c r="N40" i="39" s="1"/>
  <c r="B40" i="39"/>
  <c r="V39" i="39"/>
  <c r="T39" i="39"/>
  <c r="P39" i="39"/>
  <c r="X39" i="39" s="1"/>
  <c r="Z39" i="39" s="1"/>
  <c r="N39" i="39"/>
  <c r="L39" i="39"/>
  <c r="H39" i="39"/>
  <c r="D39" i="39"/>
  <c r="B39" i="39"/>
  <c r="X38" i="39"/>
  <c r="Z38" i="39" s="1"/>
  <c r="V38" i="39"/>
  <c r="L38" i="39"/>
  <c r="N38" i="39" s="1"/>
  <c r="B38" i="39"/>
  <c r="Z37" i="39"/>
  <c r="X37" i="39"/>
  <c r="V37" i="39"/>
  <c r="N37" i="39"/>
  <c r="L37" i="39"/>
  <c r="B37" i="39"/>
  <c r="X36" i="39"/>
  <c r="Z36" i="39" s="1"/>
  <c r="L36" i="39"/>
  <c r="N36" i="39" s="1"/>
  <c r="B36" i="39"/>
  <c r="Z35" i="39"/>
  <c r="X35" i="39"/>
  <c r="V35" i="39"/>
  <c r="N35" i="39"/>
  <c r="L35" i="39"/>
  <c r="B35" i="39"/>
  <c r="Z34" i="39"/>
  <c r="X34" i="39"/>
  <c r="N34" i="39"/>
  <c r="L34" i="39"/>
  <c r="B34" i="39"/>
  <c r="Z33" i="39"/>
  <c r="X33" i="39"/>
  <c r="N33" i="39"/>
  <c r="L33" i="39"/>
  <c r="B33" i="39"/>
  <c r="X32" i="39"/>
  <c r="Z32" i="39" s="1"/>
  <c r="L32" i="39"/>
  <c r="N32" i="39" s="1"/>
  <c r="B32" i="39"/>
  <c r="Z31" i="39"/>
  <c r="X31" i="39"/>
  <c r="V31" i="39"/>
  <c r="N31" i="39"/>
  <c r="L31" i="39"/>
  <c r="B31" i="39"/>
  <c r="X30" i="39"/>
  <c r="Z30" i="39" s="1"/>
  <c r="V30" i="39"/>
  <c r="L30" i="39"/>
  <c r="N30" i="39" s="1"/>
  <c r="B30" i="39"/>
  <c r="Z29" i="39"/>
  <c r="X29" i="39"/>
  <c r="V29" i="39"/>
  <c r="N29" i="39"/>
  <c r="L29" i="39"/>
  <c r="B29" i="39"/>
  <c r="T28" i="39"/>
  <c r="P28" i="39"/>
  <c r="L28" i="39"/>
  <c r="H28" i="39"/>
  <c r="N28" i="39" s="1"/>
  <c r="D28" i="39"/>
  <c r="B28" i="39"/>
  <c r="T27" i="39" a="1"/>
  <c r="T27" i="39" s="1"/>
  <c r="P27" i="39" a="1"/>
  <c r="P27" i="39" s="1"/>
  <c r="H27" i="39" a="1"/>
  <c r="H27" i="39" s="1"/>
  <c r="D27" i="39" a="1"/>
  <c r="D27" i="39" s="1"/>
  <c r="L27" i="39" s="1"/>
  <c r="T25" i="39"/>
  <c r="Z23" i="39"/>
  <c r="X23" i="39"/>
  <c r="V23" i="39"/>
  <c r="N23" i="39"/>
  <c r="L23" i="39"/>
  <c r="B23" i="39"/>
  <c r="Z22" i="39"/>
  <c r="X22" i="39"/>
  <c r="N22" i="39"/>
  <c r="L22" i="39"/>
  <c r="B22" i="39"/>
  <c r="Z21" i="39"/>
  <c r="X21" i="39"/>
  <c r="L21" i="39"/>
  <c r="N21" i="39" s="1"/>
  <c r="B21" i="39"/>
  <c r="T20" i="39"/>
  <c r="Z20" i="39" s="1"/>
  <c r="P20" i="39"/>
  <c r="X20" i="39" s="1"/>
  <c r="L20" i="39"/>
  <c r="H20" i="39"/>
  <c r="N20" i="39" s="1"/>
  <c r="D20" i="39"/>
  <c r="Z18" i="39"/>
  <c r="X18" i="39"/>
  <c r="P18" i="39"/>
  <c r="N18" i="39"/>
  <c r="D18" i="39"/>
  <c r="L18" i="39" s="1"/>
  <c r="B18" i="39"/>
  <c r="Z17" i="39"/>
  <c r="X17" i="39"/>
  <c r="P17" i="39"/>
  <c r="N17" i="39"/>
  <c r="L17" i="39"/>
  <c r="D17" i="39"/>
  <c r="B17" i="39"/>
  <c r="P16" i="39"/>
  <c r="X16" i="39" s="1"/>
  <c r="Z16" i="39" s="1"/>
  <c r="D16" i="39"/>
  <c r="L16" i="39" s="1"/>
  <c r="N16" i="39" s="1"/>
  <c r="B16" i="39"/>
  <c r="Z15" i="39"/>
  <c r="P15" i="39"/>
  <c r="X15" i="39" s="1"/>
  <c r="N15" i="39"/>
  <c r="L15" i="39"/>
  <c r="D15" i="39"/>
  <c r="B15" i="39"/>
  <c r="Z14" i="39"/>
  <c r="X14" i="39"/>
  <c r="P14" i="39"/>
  <c r="N14" i="39"/>
  <c r="L14" i="39"/>
  <c r="D14" i="39"/>
  <c r="B14" i="39"/>
  <c r="P13" i="39"/>
  <c r="X13" i="39" s="1"/>
  <c r="Z13" i="39" s="1"/>
  <c r="D13" i="39"/>
  <c r="L13" i="39" s="1"/>
  <c r="N13" i="39" s="1"/>
  <c r="B13" i="39"/>
  <c r="T12" i="39"/>
  <c r="V118" i="39" s="1"/>
  <c r="H12" i="39"/>
  <c r="J108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18" i="38" s="1"/>
  <c r="P12" i="38"/>
  <c r="R24" i="38" s="1"/>
  <c r="H12" i="38"/>
  <c r="D12" i="38"/>
  <c r="F18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P20" i="37"/>
  <c r="H20" i="37"/>
  <c r="N20" i="37" s="1"/>
  <c r="D20" i="37"/>
  <c r="T16" i="37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21" i="37" s="1"/>
  <c r="P12" i="37"/>
  <c r="R34" i="37" s="1"/>
  <c r="H12" i="37"/>
  <c r="J36" i="37" s="1"/>
  <c r="D12" i="37"/>
  <c r="F21" i="37" s="1"/>
  <c r="D5" i="37"/>
  <c r="D4" i="37"/>
  <c r="Z124" i="36"/>
  <c r="X124" i="36"/>
  <c r="N124" i="36"/>
  <c r="L124" i="36"/>
  <c r="Z120" i="36"/>
  <c r="P120" i="36"/>
  <c r="X120" i="36" s="1"/>
  <c r="N120" i="36"/>
  <c r="L120" i="36"/>
  <c r="D120" i="36"/>
  <c r="B120" i="36"/>
  <c r="P119" i="36"/>
  <c r="X119" i="36" s="1"/>
  <c r="Z119" i="36" s="1"/>
  <c r="D119" i="36"/>
  <c r="L119" i="36" s="1"/>
  <c r="N119" i="36" s="1"/>
  <c r="B119" i="36"/>
  <c r="P118" i="36"/>
  <c r="X118" i="36" s="1"/>
  <c r="Z118" i="36" s="1"/>
  <c r="D118" i="36"/>
  <c r="L118" i="36" s="1"/>
  <c r="N118" i="36" s="1"/>
  <c r="B118" i="36"/>
  <c r="X117" i="36"/>
  <c r="Z117" i="36" s="1"/>
  <c r="P117" i="36"/>
  <c r="N117" i="36"/>
  <c r="D117" i="36"/>
  <c r="L117" i="36" s="1"/>
  <c r="B117" i="36"/>
  <c r="T116" i="36"/>
  <c r="H116" i="36"/>
  <c r="Z114" i="36"/>
  <c r="X114" i="36"/>
  <c r="N114" i="36"/>
  <c r="L114" i="36"/>
  <c r="B114" i="36"/>
  <c r="X113" i="36"/>
  <c r="T113" i="36"/>
  <c r="Z113" i="36" s="1"/>
  <c r="P113" i="36"/>
  <c r="H113" i="36"/>
  <c r="D113" i="36"/>
  <c r="B113" i="36"/>
  <c r="Z112" i="36"/>
  <c r="X112" i="36"/>
  <c r="N112" i="36"/>
  <c r="L112" i="36"/>
  <c r="B112" i="36"/>
  <c r="Z111" i="36"/>
  <c r="X111" i="36"/>
  <c r="N111" i="36"/>
  <c r="L111" i="36"/>
  <c r="B111" i="36"/>
  <c r="T110" i="36"/>
  <c r="P110" i="36"/>
  <c r="X110" i="36" s="1"/>
  <c r="Z110" i="36" s="1"/>
  <c r="N110" i="36"/>
  <c r="L110" i="36"/>
  <c r="H110" i="36"/>
  <c r="D110" i="36"/>
  <c r="B110" i="36"/>
  <c r="X109" i="36"/>
  <c r="Z109" i="36" s="1"/>
  <c r="L109" i="36"/>
  <c r="N109" i="36" s="1"/>
  <c r="B109" i="36"/>
  <c r="X108" i="36"/>
  <c r="Z108" i="36" s="1"/>
  <c r="T108" i="36"/>
  <c r="P108" i="36"/>
  <c r="H108" i="36"/>
  <c r="D108" i="36"/>
  <c r="L108" i="36" s="1"/>
  <c r="B108" i="36"/>
  <c r="Z107" i="36"/>
  <c r="X107" i="36"/>
  <c r="N107" i="36"/>
  <c r="L107" i="36"/>
  <c r="B107" i="36"/>
  <c r="Z106" i="36"/>
  <c r="X106" i="36"/>
  <c r="N106" i="36"/>
  <c r="L106" i="36"/>
  <c r="B106" i="36"/>
  <c r="T105" i="36"/>
  <c r="Z105" i="36" s="1"/>
  <c r="P105" i="36"/>
  <c r="X105" i="36" s="1"/>
  <c r="H105" i="36"/>
  <c r="D105" i="36"/>
  <c r="L105" i="36" s="1"/>
  <c r="B105" i="36"/>
  <c r="Z104" i="36"/>
  <c r="X104" i="36"/>
  <c r="L104" i="36"/>
  <c r="N104" i="36" s="1"/>
  <c r="B104" i="36"/>
  <c r="Z103" i="36"/>
  <c r="X103" i="36"/>
  <c r="N103" i="36"/>
  <c r="L103" i="36"/>
  <c r="B103" i="36"/>
  <c r="Z102" i="36"/>
  <c r="X102" i="36"/>
  <c r="N102" i="36"/>
  <c r="L102" i="36"/>
  <c r="B102" i="36"/>
  <c r="X101" i="36"/>
  <c r="Z101" i="36" s="1"/>
  <c r="L101" i="36"/>
  <c r="N101" i="36" s="1"/>
  <c r="B101" i="36"/>
  <c r="X100" i="36"/>
  <c r="Z100" i="36" s="1"/>
  <c r="N100" i="36"/>
  <c r="L100" i="36"/>
  <c r="B100" i="36"/>
  <c r="Z99" i="36"/>
  <c r="X99" i="36"/>
  <c r="N99" i="36"/>
  <c r="L99" i="36"/>
  <c r="B99" i="36"/>
  <c r="Z98" i="36"/>
  <c r="X98" i="36"/>
  <c r="N98" i="36"/>
  <c r="L98" i="36"/>
  <c r="B98" i="36"/>
  <c r="X97" i="36"/>
  <c r="Z97" i="36" s="1"/>
  <c r="L97" i="36"/>
  <c r="N97" i="36" s="1"/>
  <c r="B97" i="36"/>
  <c r="Z96" i="36"/>
  <c r="X96" i="36"/>
  <c r="L96" i="36"/>
  <c r="N96" i="36" s="1"/>
  <c r="B96" i="36"/>
  <c r="Z95" i="36"/>
  <c r="X95" i="36"/>
  <c r="N95" i="36"/>
  <c r="L95" i="36"/>
  <c r="B95" i="36"/>
  <c r="T94" i="36"/>
  <c r="Z94" i="36" s="1"/>
  <c r="P94" i="36"/>
  <c r="X94" i="36" s="1"/>
  <c r="H94" i="36"/>
  <c r="D94" i="36"/>
  <c r="L94" i="36" s="1"/>
  <c r="N94" i="36" s="1"/>
  <c r="B94" i="36"/>
  <c r="X93" i="36"/>
  <c r="Z93" i="36" s="1"/>
  <c r="L93" i="36"/>
  <c r="N93" i="36" s="1"/>
  <c r="B93" i="36"/>
  <c r="Z92" i="36"/>
  <c r="X92" i="36"/>
  <c r="N92" i="36"/>
  <c r="L92" i="36"/>
  <c r="B92" i="36"/>
  <c r="T91" i="36"/>
  <c r="Z91" i="36" s="1"/>
  <c r="P91" i="36"/>
  <c r="X91" i="36" s="1"/>
  <c r="L91" i="36"/>
  <c r="H91" i="36"/>
  <c r="N91" i="36" s="1"/>
  <c r="D91" i="36"/>
  <c r="B91" i="36"/>
  <c r="Z90" i="36"/>
  <c r="X90" i="36"/>
  <c r="N90" i="36"/>
  <c r="L90" i="36"/>
  <c r="B90" i="36"/>
  <c r="X89" i="36"/>
  <c r="Z89" i="36" s="1"/>
  <c r="L89" i="36"/>
  <c r="N89" i="36" s="1"/>
  <c r="B89" i="36"/>
  <c r="Z88" i="36"/>
  <c r="X88" i="36"/>
  <c r="L88" i="36"/>
  <c r="N88" i="36" s="1"/>
  <c r="B88" i="36"/>
  <c r="Z87" i="36"/>
  <c r="X87" i="36"/>
  <c r="N87" i="36"/>
  <c r="L87" i="36"/>
  <c r="B87" i="36"/>
  <c r="Z86" i="36"/>
  <c r="X86" i="36"/>
  <c r="N86" i="36"/>
  <c r="L86" i="36"/>
  <c r="B86" i="36"/>
  <c r="T85" i="36"/>
  <c r="Z85" i="36" s="1"/>
  <c r="P85" i="36"/>
  <c r="X85" i="36" s="1"/>
  <c r="H85" i="36"/>
  <c r="D85" i="36"/>
  <c r="L85" i="36" s="1"/>
  <c r="B85" i="36"/>
  <c r="Z84" i="36"/>
  <c r="X84" i="36"/>
  <c r="N84" i="36"/>
  <c r="L84" i="36"/>
  <c r="B84" i="36"/>
  <c r="T83" i="36"/>
  <c r="Z83" i="36" s="1"/>
  <c r="P83" i="36"/>
  <c r="X83" i="36" s="1"/>
  <c r="L83" i="36"/>
  <c r="H83" i="36"/>
  <c r="N83" i="36" s="1"/>
  <c r="D83" i="36"/>
  <c r="B83" i="36"/>
  <c r="Z82" i="36"/>
  <c r="X82" i="36"/>
  <c r="N82" i="36"/>
  <c r="L82" i="36"/>
  <c r="B82" i="36"/>
  <c r="X81" i="36"/>
  <c r="Z81" i="36" s="1"/>
  <c r="L81" i="36"/>
  <c r="N81" i="36" s="1"/>
  <c r="B81" i="36"/>
  <c r="Z80" i="36"/>
  <c r="X80" i="36"/>
  <c r="N80" i="36"/>
  <c r="L80" i="36"/>
  <c r="B80" i="36"/>
  <c r="X79" i="36"/>
  <c r="Z79" i="36" s="1"/>
  <c r="N79" i="36"/>
  <c r="L79" i="36"/>
  <c r="B79" i="36"/>
  <c r="T78" i="36"/>
  <c r="P78" i="36"/>
  <c r="X78" i="36" s="1"/>
  <c r="H78" i="36"/>
  <c r="D78" i="36"/>
  <c r="L78" i="36" s="1"/>
  <c r="N78" i="36" s="1"/>
  <c r="B78" i="36"/>
  <c r="X77" i="36"/>
  <c r="Z77" i="36" s="1"/>
  <c r="L77" i="36"/>
  <c r="N77" i="36" s="1"/>
  <c r="B77" i="36"/>
  <c r="T76" i="36"/>
  <c r="P76" i="36"/>
  <c r="X76" i="36" s="1"/>
  <c r="Z76" i="36" s="1"/>
  <c r="H76" i="36"/>
  <c r="L76" i="36" s="1"/>
  <c r="N76" i="36" s="1"/>
  <c r="D76" i="36"/>
  <c r="B76" i="36"/>
  <c r="Z75" i="36"/>
  <c r="X75" i="36"/>
  <c r="N75" i="36"/>
  <c r="L75" i="36"/>
  <c r="B75" i="36"/>
  <c r="T74" i="36"/>
  <c r="X74" i="36" s="1"/>
  <c r="Z74" i="36" s="1"/>
  <c r="P74" i="36"/>
  <c r="L74" i="36"/>
  <c r="N74" i="36" s="1"/>
  <c r="H74" i="36"/>
  <c r="D74" i="36"/>
  <c r="B74" i="36"/>
  <c r="X73" i="36"/>
  <c r="Z73" i="36" s="1"/>
  <c r="L73" i="36"/>
  <c r="N73" i="36" s="1"/>
  <c r="B73" i="36"/>
  <c r="X72" i="36"/>
  <c r="Z72" i="36" s="1"/>
  <c r="T72" i="36"/>
  <c r="P72" i="36"/>
  <c r="H72" i="36"/>
  <c r="N72" i="36" s="1"/>
  <c r="D72" i="36"/>
  <c r="L72" i="36" s="1"/>
  <c r="B72" i="36"/>
  <c r="Z71" i="36"/>
  <c r="X71" i="36"/>
  <c r="N71" i="36"/>
  <c r="L71" i="36"/>
  <c r="B71" i="36"/>
  <c r="T70" i="36"/>
  <c r="Z70" i="36" s="1"/>
  <c r="P70" i="36"/>
  <c r="X70" i="36" s="1"/>
  <c r="H70" i="36"/>
  <c r="D70" i="36"/>
  <c r="L70" i="36" s="1"/>
  <c r="N70" i="36" s="1"/>
  <c r="B70" i="36"/>
  <c r="X69" i="36"/>
  <c r="Z69" i="36" s="1"/>
  <c r="L69" i="36"/>
  <c r="N69" i="36" s="1"/>
  <c r="B69" i="36"/>
  <c r="Z68" i="36"/>
  <c r="X68" i="36"/>
  <c r="N68" i="36"/>
  <c r="L68" i="36"/>
  <c r="B68" i="36"/>
  <c r="T67" i="36"/>
  <c r="Z67" i="36" s="1"/>
  <c r="P67" i="36"/>
  <c r="X67" i="36" s="1"/>
  <c r="L67" i="36"/>
  <c r="H67" i="36"/>
  <c r="N67" i="36" s="1"/>
  <c r="D67" i="36"/>
  <c r="B67" i="36"/>
  <c r="Z66" i="36"/>
  <c r="X66" i="36"/>
  <c r="V66" i="36"/>
  <c r="N66" i="36"/>
  <c r="L66" i="36"/>
  <c r="B66" i="36"/>
  <c r="X65" i="36"/>
  <c r="T65" i="36"/>
  <c r="Z65" i="36" s="1"/>
  <c r="P65" i="36"/>
  <c r="H65" i="36"/>
  <c r="D65" i="36"/>
  <c r="B65" i="36"/>
  <c r="X64" i="36"/>
  <c r="Z64" i="36" s="1"/>
  <c r="N64" i="36"/>
  <c r="L64" i="36"/>
  <c r="B64" i="36"/>
  <c r="T63" i="36"/>
  <c r="P63" i="36"/>
  <c r="H63" i="36"/>
  <c r="N63" i="36" s="1"/>
  <c r="D63" i="36"/>
  <c r="L63" i="36" s="1"/>
  <c r="B63" i="36"/>
  <c r="Z62" i="36"/>
  <c r="X62" i="36"/>
  <c r="N62" i="36"/>
  <c r="L62" i="36"/>
  <c r="B62" i="36"/>
  <c r="T61" i="36"/>
  <c r="Z61" i="36" s="1"/>
  <c r="P61" i="36"/>
  <c r="X61" i="36" s="1"/>
  <c r="H61" i="36"/>
  <c r="D61" i="36"/>
  <c r="L61" i="36" s="1"/>
  <c r="B61" i="36"/>
  <c r="Z60" i="36"/>
  <c r="X60" i="36"/>
  <c r="L60" i="36"/>
  <c r="N60" i="36" s="1"/>
  <c r="B60" i="36"/>
  <c r="Z59" i="36"/>
  <c r="X59" i="36"/>
  <c r="N59" i="36"/>
  <c r="L59" i="36"/>
  <c r="B59" i="36"/>
  <c r="T58" i="36"/>
  <c r="P58" i="36"/>
  <c r="X58" i="36" s="1"/>
  <c r="H58" i="36"/>
  <c r="D58" i="36"/>
  <c r="L58" i="36" s="1"/>
  <c r="N58" i="36" s="1"/>
  <c r="B58" i="36"/>
  <c r="X57" i="36"/>
  <c r="Z57" i="36" s="1"/>
  <c r="L57" i="36"/>
  <c r="N57" i="36" s="1"/>
  <c r="B57" i="36"/>
  <c r="T56" i="36"/>
  <c r="P56" i="36"/>
  <c r="X56" i="36" s="1"/>
  <c r="Z56" i="36" s="1"/>
  <c r="H56" i="36"/>
  <c r="L56" i="36" s="1"/>
  <c r="N56" i="36" s="1"/>
  <c r="D56" i="36"/>
  <c r="B56" i="36"/>
  <c r="Z55" i="36"/>
  <c r="X55" i="36"/>
  <c r="N55" i="36"/>
  <c r="L55" i="36"/>
  <c r="B55" i="36"/>
  <c r="V54" i="36"/>
  <c r="T54" i="36"/>
  <c r="X54" i="36" s="1"/>
  <c r="Z54" i="36" s="1"/>
  <c r="P54" i="36"/>
  <c r="L54" i="36"/>
  <c r="N54" i="36" s="1"/>
  <c r="H54" i="36"/>
  <c r="D54" i="36"/>
  <c r="B54" i="36"/>
  <c r="X53" i="36"/>
  <c r="Z53" i="36" s="1"/>
  <c r="L53" i="36"/>
  <c r="N53" i="36" s="1"/>
  <c r="B53" i="36"/>
  <c r="X52" i="36"/>
  <c r="Z52" i="36" s="1"/>
  <c r="T52" i="36"/>
  <c r="P52" i="36"/>
  <c r="H52" i="36"/>
  <c r="D52" i="36"/>
  <c r="L52" i="36" s="1"/>
  <c r="B52" i="36"/>
  <c r="Z51" i="36"/>
  <c r="X51" i="36"/>
  <c r="N51" i="36"/>
  <c r="L51" i="36"/>
  <c r="B51" i="36"/>
  <c r="Z50" i="36"/>
  <c r="X50" i="36"/>
  <c r="N50" i="36"/>
  <c r="L50" i="36"/>
  <c r="B50" i="36"/>
  <c r="X49" i="36"/>
  <c r="Z49" i="36" s="1"/>
  <c r="L49" i="36"/>
  <c r="N49" i="36" s="1"/>
  <c r="B49" i="36"/>
  <c r="X48" i="36"/>
  <c r="Z48" i="36" s="1"/>
  <c r="N48" i="36"/>
  <c r="L48" i="36"/>
  <c r="B48" i="36"/>
  <c r="Z47" i="36"/>
  <c r="X47" i="36"/>
  <c r="N47" i="36"/>
  <c r="L47" i="36"/>
  <c r="B47" i="36"/>
  <c r="Z46" i="36"/>
  <c r="X46" i="36"/>
  <c r="V46" i="36"/>
  <c r="N46" i="36"/>
  <c r="L46" i="36"/>
  <c r="B46" i="36"/>
  <c r="X45" i="36"/>
  <c r="Z45" i="36" s="1"/>
  <c r="L45" i="36"/>
  <c r="N45" i="36" s="1"/>
  <c r="B45" i="36"/>
  <c r="Z44" i="36"/>
  <c r="X44" i="36"/>
  <c r="N44" i="36"/>
  <c r="L44" i="36"/>
  <c r="B44" i="36"/>
  <c r="Z43" i="36"/>
  <c r="X43" i="36"/>
  <c r="N43" i="36"/>
  <c r="L43" i="36"/>
  <c r="B43" i="36"/>
  <c r="Z42" i="36"/>
  <c r="X42" i="36"/>
  <c r="N42" i="36"/>
  <c r="L42" i="36"/>
  <c r="B42" i="36"/>
  <c r="T41" i="36"/>
  <c r="P41" i="36"/>
  <c r="X41" i="36" s="1"/>
  <c r="H41" i="36"/>
  <c r="N41" i="36" s="1"/>
  <c r="D41" i="36"/>
  <c r="L41" i="36" s="1"/>
  <c r="B41" i="36"/>
  <c r="Z40" i="36"/>
  <c r="X40" i="36"/>
  <c r="L40" i="36"/>
  <c r="N40" i="36" s="1"/>
  <c r="B40" i="36"/>
  <c r="Z39" i="36"/>
  <c r="X39" i="36"/>
  <c r="N39" i="36"/>
  <c r="L39" i="36"/>
  <c r="B39" i="36"/>
  <c r="Z38" i="36"/>
  <c r="X38" i="36"/>
  <c r="N38" i="36"/>
  <c r="L38" i="36"/>
  <c r="B38" i="36"/>
  <c r="Z37" i="36"/>
  <c r="X37" i="36"/>
  <c r="N37" i="36"/>
  <c r="L37" i="36"/>
  <c r="B37" i="36"/>
  <c r="Z36" i="36"/>
  <c r="X36" i="36"/>
  <c r="N36" i="36"/>
  <c r="L36" i="36"/>
  <c r="B36" i="36"/>
  <c r="Z35" i="36"/>
  <c r="X35" i="36"/>
  <c r="N35" i="36"/>
  <c r="L35" i="36"/>
  <c r="B35" i="36"/>
  <c r="Z34" i="36"/>
  <c r="X34" i="36"/>
  <c r="V34" i="36"/>
  <c r="N34" i="36"/>
  <c r="L34" i="36"/>
  <c r="B34" i="36"/>
  <c r="X33" i="36"/>
  <c r="Z33" i="36" s="1"/>
  <c r="L33" i="36"/>
  <c r="N33" i="36" s="1"/>
  <c r="B33" i="36"/>
  <c r="Z32" i="36"/>
  <c r="X32" i="36"/>
  <c r="L32" i="36"/>
  <c r="N32" i="36" s="1"/>
  <c r="B32" i="36"/>
  <c r="X31" i="36"/>
  <c r="Z31" i="36" s="1"/>
  <c r="N31" i="36"/>
  <c r="L31" i="36"/>
  <c r="B31" i="36"/>
  <c r="T30" i="36"/>
  <c r="P30" i="36"/>
  <c r="X30" i="36" s="1"/>
  <c r="H30" i="36"/>
  <c r="D30" i="36"/>
  <c r="L30" i="36" s="1"/>
  <c r="N30" i="36" s="1"/>
  <c r="B30" i="36"/>
  <c r="T29" i="36" a="1"/>
  <c r="T29" i="36" s="1"/>
  <c r="P29" i="36" a="1"/>
  <c r="P29" i="36" s="1"/>
  <c r="X29" i="36" s="1"/>
  <c r="H29" i="36" a="1"/>
  <c r="H29" i="36" s="1"/>
  <c r="D29" i="36" a="1"/>
  <c r="D29" i="36" s="1"/>
  <c r="Z25" i="36"/>
  <c r="X25" i="36"/>
  <c r="V25" i="36"/>
  <c r="N25" i="36"/>
  <c r="L25" i="36"/>
  <c r="B25" i="36"/>
  <c r="Z24" i="36"/>
  <c r="X24" i="36"/>
  <c r="N24" i="36"/>
  <c r="L24" i="36"/>
  <c r="B24" i="36"/>
  <c r="Z23" i="36"/>
  <c r="X23" i="36"/>
  <c r="L23" i="36"/>
  <c r="N23" i="36" s="1"/>
  <c r="B23" i="36"/>
  <c r="V22" i="36"/>
  <c r="T22" i="36"/>
  <c r="P22" i="36"/>
  <c r="X22" i="36" s="1"/>
  <c r="Z22" i="36" s="1"/>
  <c r="L22" i="36"/>
  <c r="N22" i="36" s="1"/>
  <c r="H22" i="36"/>
  <c r="D22" i="36"/>
  <c r="Z20" i="36"/>
  <c r="P20" i="36"/>
  <c r="X20" i="36" s="1"/>
  <c r="N20" i="36"/>
  <c r="L20" i="36"/>
  <c r="D20" i="36"/>
  <c r="B20" i="36"/>
  <c r="Z19" i="36"/>
  <c r="X19" i="36"/>
  <c r="P19" i="36"/>
  <c r="N19" i="36"/>
  <c r="L19" i="36"/>
  <c r="D19" i="36"/>
  <c r="B19" i="36"/>
  <c r="Z18" i="36"/>
  <c r="P18" i="36"/>
  <c r="X18" i="36" s="1"/>
  <c r="N18" i="36"/>
  <c r="D18" i="36"/>
  <c r="L18" i="36" s="1"/>
  <c r="B18" i="36"/>
  <c r="X17" i="36"/>
  <c r="Z17" i="36" s="1"/>
  <c r="P17" i="36"/>
  <c r="D17" i="36"/>
  <c r="L17" i="36" s="1"/>
  <c r="N17" i="36" s="1"/>
  <c r="B17" i="36"/>
  <c r="Z16" i="36"/>
  <c r="P16" i="36"/>
  <c r="P12" i="36" s="1"/>
  <c r="N16" i="36"/>
  <c r="L16" i="36"/>
  <c r="D16" i="36"/>
  <c r="B16" i="36"/>
  <c r="Z15" i="36"/>
  <c r="X15" i="36"/>
  <c r="P15" i="36"/>
  <c r="N15" i="36"/>
  <c r="D15" i="36"/>
  <c r="L15" i="36" s="1"/>
  <c r="B15" i="36"/>
  <c r="Z14" i="36"/>
  <c r="X14" i="36"/>
  <c r="P14" i="36"/>
  <c r="N14" i="36"/>
  <c r="L14" i="36"/>
  <c r="D14" i="36"/>
  <c r="B14" i="36"/>
  <c r="P13" i="36"/>
  <c r="X13" i="36" s="1"/>
  <c r="Z13" i="36" s="1"/>
  <c r="D13" i="36"/>
  <c r="L13" i="36" s="1"/>
  <c r="N13" i="36" s="1"/>
  <c r="B13" i="36"/>
  <c r="T12" i="36"/>
  <c r="V119" i="36" s="1"/>
  <c r="H12" i="36"/>
  <c r="J118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L13" i="35" s="1"/>
  <c r="B13" i="35"/>
  <c r="T12" i="35"/>
  <c r="V34" i="35" s="1"/>
  <c r="P12" i="35"/>
  <c r="H12" i="35"/>
  <c r="J20" i="35" s="1"/>
  <c r="D12" i="35"/>
  <c r="F34" i="35" s="1"/>
  <c r="D5" i="35"/>
  <c r="D4" i="35"/>
  <c r="X131" i="34"/>
  <c r="Z131" i="34" s="1"/>
  <c r="N131" i="34"/>
  <c r="L131" i="34"/>
  <c r="Z127" i="34"/>
  <c r="P127" i="34"/>
  <c r="X127" i="34" s="1"/>
  <c r="N127" i="34"/>
  <c r="L127" i="34"/>
  <c r="D127" i="34"/>
  <c r="B127" i="34"/>
  <c r="X126" i="34"/>
  <c r="Z126" i="34" s="1"/>
  <c r="P126" i="34"/>
  <c r="N126" i="34"/>
  <c r="D126" i="34"/>
  <c r="L126" i="34" s="1"/>
  <c r="B126" i="34"/>
  <c r="P125" i="34"/>
  <c r="P124" i="34" s="1"/>
  <c r="X124" i="34" s="1"/>
  <c r="L125" i="34"/>
  <c r="N125" i="34" s="1"/>
  <c r="D125" i="34"/>
  <c r="B125" i="34"/>
  <c r="T124" i="34"/>
  <c r="Z124" i="34" s="1"/>
  <c r="L124" i="34"/>
  <c r="H124" i="34"/>
  <c r="D124" i="34"/>
  <c r="Z122" i="34"/>
  <c r="X122" i="34"/>
  <c r="L122" i="34"/>
  <c r="N122" i="34" s="1"/>
  <c r="B122" i="34"/>
  <c r="T121" i="34"/>
  <c r="P121" i="34"/>
  <c r="X121" i="34" s="1"/>
  <c r="Z121" i="34" s="1"/>
  <c r="L121" i="34"/>
  <c r="N121" i="34" s="1"/>
  <c r="H121" i="34"/>
  <c r="D121" i="34"/>
  <c r="B121" i="34"/>
  <c r="X120" i="34"/>
  <c r="Z120" i="34" s="1"/>
  <c r="L120" i="34"/>
  <c r="N120" i="34" s="1"/>
  <c r="B120" i="34"/>
  <c r="X119" i="34"/>
  <c r="Z119" i="34" s="1"/>
  <c r="N119" i="34"/>
  <c r="L119" i="34"/>
  <c r="B119" i="34"/>
  <c r="T118" i="34"/>
  <c r="P118" i="34"/>
  <c r="H118" i="34"/>
  <c r="N118" i="34" s="1"/>
  <c r="D118" i="34"/>
  <c r="L118" i="34" s="1"/>
  <c r="B118" i="34"/>
  <c r="Z117" i="34"/>
  <c r="X117" i="34"/>
  <c r="N117" i="34"/>
  <c r="L117" i="34"/>
  <c r="B117" i="34"/>
  <c r="T116" i="34"/>
  <c r="Z116" i="34" s="1"/>
  <c r="P116" i="34"/>
  <c r="X116" i="34" s="1"/>
  <c r="L116" i="34"/>
  <c r="H116" i="34"/>
  <c r="N116" i="34" s="1"/>
  <c r="D116" i="34"/>
  <c r="B116" i="34"/>
  <c r="Z115" i="34"/>
  <c r="X115" i="34"/>
  <c r="L115" i="34"/>
  <c r="N115" i="34" s="1"/>
  <c r="B115" i="34"/>
  <c r="X114" i="34"/>
  <c r="T114" i="34"/>
  <c r="Z114" i="34" s="1"/>
  <c r="P114" i="34"/>
  <c r="L114" i="34"/>
  <c r="H114" i="34"/>
  <c r="N114" i="34" s="1"/>
  <c r="D114" i="34"/>
  <c r="B114" i="34"/>
  <c r="Z113" i="34"/>
  <c r="X113" i="34"/>
  <c r="N113" i="34"/>
  <c r="L113" i="34"/>
  <c r="B113" i="34"/>
  <c r="Z112" i="34"/>
  <c r="X112" i="34"/>
  <c r="N112" i="34"/>
  <c r="L112" i="34"/>
  <c r="B112" i="34"/>
  <c r="Z111" i="34"/>
  <c r="X111" i="34"/>
  <c r="L111" i="34"/>
  <c r="N111" i="34" s="1"/>
  <c r="B111" i="34"/>
  <c r="X110" i="34"/>
  <c r="Z110" i="34" s="1"/>
  <c r="N110" i="34"/>
  <c r="L110" i="34"/>
  <c r="B110" i="34"/>
  <c r="Z109" i="34"/>
  <c r="X109" i="34"/>
  <c r="N109" i="34"/>
  <c r="L109" i="34"/>
  <c r="B109" i="34"/>
  <c r="Z108" i="34"/>
  <c r="X108" i="34"/>
  <c r="N108" i="34"/>
  <c r="L108" i="34"/>
  <c r="B108" i="34"/>
  <c r="X107" i="34"/>
  <c r="Z107" i="34" s="1"/>
  <c r="T107" i="34"/>
  <c r="P107" i="34"/>
  <c r="H107" i="34"/>
  <c r="D107" i="34"/>
  <c r="B107" i="34"/>
  <c r="X106" i="34"/>
  <c r="Z106" i="34" s="1"/>
  <c r="N106" i="34"/>
  <c r="L106" i="34"/>
  <c r="B106" i="34"/>
  <c r="Z105" i="34"/>
  <c r="X105" i="34"/>
  <c r="N105" i="34"/>
  <c r="L105" i="34"/>
  <c r="B105" i="34"/>
  <c r="T104" i="34"/>
  <c r="Z104" i="34" s="1"/>
  <c r="P104" i="34"/>
  <c r="X104" i="34" s="1"/>
  <c r="L104" i="34"/>
  <c r="H104" i="34"/>
  <c r="N104" i="34" s="1"/>
  <c r="D104" i="34"/>
  <c r="B104" i="34"/>
  <c r="Z103" i="34"/>
  <c r="X103" i="34"/>
  <c r="N103" i="34"/>
  <c r="L103" i="34"/>
  <c r="B103" i="34"/>
  <c r="X102" i="34"/>
  <c r="Z102" i="34" s="1"/>
  <c r="N102" i="34"/>
  <c r="L102" i="34"/>
  <c r="B102" i="34"/>
  <c r="Z101" i="34"/>
  <c r="X101" i="34"/>
  <c r="N101" i="34"/>
  <c r="L101" i="34"/>
  <c r="B101" i="34"/>
  <c r="T100" i="34"/>
  <c r="P100" i="34"/>
  <c r="X100" i="34" s="1"/>
  <c r="L100" i="34"/>
  <c r="H100" i="34"/>
  <c r="D100" i="34"/>
  <c r="B100" i="34"/>
  <c r="Z99" i="34"/>
  <c r="X99" i="34"/>
  <c r="L99" i="34"/>
  <c r="N99" i="34" s="1"/>
  <c r="B99" i="34"/>
  <c r="X98" i="34"/>
  <c r="Z98" i="34" s="1"/>
  <c r="N98" i="34"/>
  <c r="L98" i="34"/>
  <c r="B98" i="34"/>
  <c r="Z97" i="34"/>
  <c r="X97" i="34"/>
  <c r="N97" i="34"/>
  <c r="L97" i="34"/>
  <c r="B97" i="34"/>
  <c r="T96" i="34"/>
  <c r="P96" i="34"/>
  <c r="X96" i="34" s="1"/>
  <c r="L96" i="34"/>
  <c r="H96" i="34"/>
  <c r="D96" i="34"/>
  <c r="B96" i="34"/>
  <c r="Z95" i="34"/>
  <c r="X95" i="34"/>
  <c r="N95" i="34"/>
  <c r="L95" i="34"/>
  <c r="B95" i="34"/>
  <c r="X94" i="34"/>
  <c r="Z94" i="34" s="1"/>
  <c r="N94" i="34"/>
  <c r="L94" i="34"/>
  <c r="B94" i="34"/>
  <c r="T93" i="34"/>
  <c r="P93" i="34"/>
  <c r="X93" i="34" s="1"/>
  <c r="Z93" i="34" s="1"/>
  <c r="N93" i="34"/>
  <c r="H93" i="34"/>
  <c r="D93" i="34"/>
  <c r="L93" i="34" s="1"/>
  <c r="B93" i="34"/>
  <c r="X92" i="34"/>
  <c r="Z92" i="34" s="1"/>
  <c r="L92" i="34"/>
  <c r="N92" i="34" s="1"/>
  <c r="B92" i="34"/>
  <c r="T91" i="34"/>
  <c r="P91" i="34"/>
  <c r="X91" i="34" s="1"/>
  <c r="Z91" i="34" s="1"/>
  <c r="H91" i="34"/>
  <c r="D91" i="34"/>
  <c r="L91" i="34" s="1"/>
  <c r="N91" i="34" s="1"/>
  <c r="B91" i="34"/>
  <c r="Z90" i="34"/>
  <c r="X90" i="34"/>
  <c r="L90" i="34"/>
  <c r="N90" i="34" s="1"/>
  <c r="B90" i="34"/>
  <c r="T89" i="34"/>
  <c r="P89" i="34"/>
  <c r="X89" i="34" s="1"/>
  <c r="Z89" i="34" s="1"/>
  <c r="N89" i="34"/>
  <c r="L89" i="34"/>
  <c r="H89" i="34"/>
  <c r="D89" i="34"/>
  <c r="B89" i="34"/>
  <c r="X88" i="34"/>
  <c r="Z88" i="34" s="1"/>
  <c r="L88" i="34"/>
  <c r="N88" i="34" s="1"/>
  <c r="B88" i="34"/>
  <c r="Z87" i="34"/>
  <c r="X87" i="34"/>
  <c r="T87" i="34"/>
  <c r="P87" i="34"/>
  <c r="H87" i="34"/>
  <c r="L87" i="34" s="1"/>
  <c r="D87" i="34"/>
  <c r="B87" i="34"/>
  <c r="X86" i="34"/>
  <c r="Z86" i="34" s="1"/>
  <c r="N86" i="34"/>
  <c r="L86" i="34"/>
  <c r="B86" i="34"/>
  <c r="T85" i="34"/>
  <c r="Z85" i="34" s="1"/>
  <c r="P85" i="34"/>
  <c r="X85" i="34" s="1"/>
  <c r="H85" i="34"/>
  <c r="D85" i="34"/>
  <c r="L85" i="34" s="1"/>
  <c r="N85" i="34" s="1"/>
  <c r="B85" i="34"/>
  <c r="Z84" i="34"/>
  <c r="X84" i="34"/>
  <c r="N84" i="34"/>
  <c r="L84" i="34"/>
  <c r="B84" i="34"/>
  <c r="Z83" i="34"/>
  <c r="X83" i="34"/>
  <c r="N83" i="34"/>
  <c r="L83" i="34"/>
  <c r="B83" i="34"/>
  <c r="T82" i="34"/>
  <c r="P82" i="34"/>
  <c r="H82" i="34"/>
  <c r="N82" i="34" s="1"/>
  <c r="D82" i="34"/>
  <c r="B82" i="34"/>
  <c r="Z81" i="34"/>
  <c r="X81" i="34"/>
  <c r="N81" i="34"/>
  <c r="L81" i="34"/>
  <c r="B81" i="34"/>
  <c r="X80" i="34"/>
  <c r="Z80" i="34" s="1"/>
  <c r="L80" i="34"/>
  <c r="N80" i="34" s="1"/>
  <c r="B80" i="34"/>
  <c r="T79" i="34"/>
  <c r="P79" i="34"/>
  <c r="X79" i="34" s="1"/>
  <c r="Z79" i="34" s="1"/>
  <c r="H79" i="34"/>
  <c r="L79" i="34" s="1"/>
  <c r="N79" i="34" s="1"/>
  <c r="D79" i="34"/>
  <c r="B79" i="34"/>
  <c r="Z78" i="34"/>
  <c r="X78" i="34"/>
  <c r="N78" i="34"/>
  <c r="L78" i="34"/>
  <c r="B78" i="34"/>
  <c r="Z77" i="34"/>
  <c r="T77" i="34"/>
  <c r="P77" i="34"/>
  <c r="X77" i="34" s="1"/>
  <c r="N77" i="34"/>
  <c r="L77" i="34"/>
  <c r="H77" i="34"/>
  <c r="D77" i="34"/>
  <c r="B77" i="34"/>
  <c r="X76" i="34"/>
  <c r="Z76" i="34" s="1"/>
  <c r="L76" i="34"/>
  <c r="N76" i="34" s="1"/>
  <c r="B76" i="34"/>
  <c r="Z75" i="34"/>
  <c r="X75" i="34"/>
  <c r="T75" i="34"/>
  <c r="P75" i="34"/>
  <c r="H75" i="34"/>
  <c r="L75" i="34" s="1"/>
  <c r="D75" i="34"/>
  <c r="B75" i="34"/>
  <c r="Z74" i="34"/>
  <c r="X74" i="34"/>
  <c r="N74" i="34"/>
  <c r="L74" i="34"/>
  <c r="B74" i="34"/>
  <c r="Z73" i="34"/>
  <c r="X73" i="34"/>
  <c r="N73" i="34"/>
  <c r="L73" i="34"/>
  <c r="B73" i="34"/>
  <c r="T72" i="34"/>
  <c r="Z72" i="34" s="1"/>
  <c r="P72" i="34"/>
  <c r="X72" i="34" s="1"/>
  <c r="H72" i="34"/>
  <c r="N72" i="34" s="1"/>
  <c r="D72" i="34"/>
  <c r="L72" i="34" s="1"/>
  <c r="B72" i="34"/>
  <c r="X71" i="34"/>
  <c r="Z71" i="34" s="1"/>
  <c r="L71" i="34"/>
  <c r="N71" i="34" s="1"/>
  <c r="J71" i="34"/>
  <c r="B71" i="34"/>
  <c r="T70" i="34"/>
  <c r="P70" i="34"/>
  <c r="L70" i="34"/>
  <c r="J70" i="34"/>
  <c r="H70" i="34"/>
  <c r="D70" i="34"/>
  <c r="B70" i="34"/>
  <c r="Z69" i="34"/>
  <c r="X69" i="34"/>
  <c r="N69" i="34"/>
  <c r="L69" i="34"/>
  <c r="B69" i="34"/>
  <c r="T68" i="34"/>
  <c r="P68" i="34"/>
  <c r="X68" i="34" s="1"/>
  <c r="H68" i="34"/>
  <c r="N68" i="34" s="1"/>
  <c r="D68" i="34"/>
  <c r="L68" i="34" s="1"/>
  <c r="B68" i="34"/>
  <c r="X67" i="34"/>
  <c r="Z67" i="34" s="1"/>
  <c r="L67" i="34"/>
  <c r="N67" i="34" s="1"/>
  <c r="B67" i="34"/>
  <c r="T66" i="34"/>
  <c r="P66" i="34"/>
  <c r="H66" i="34"/>
  <c r="D66" i="34"/>
  <c r="B66" i="34"/>
  <c r="Z65" i="34"/>
  <c r="X65" i="34"/>
  <c r="N65" i="34"/>
  <c r="L65" i="34"/>
  <c r="B65" i="34"/>
  <c r="Z64" i="34"/>
  <c r="X64" i="34"/>
  <c r="N64" i="34"/>
  <c r="L64" i="34"/>
  <c r="J64" i="34"/>
  <c r="B64" i="34"/>
  <c r="X63" i="34"/>
  <c r="Z63" i="34" s="1"/>
  <c r="N63" i="34"/>
  <c r="L63" i="34"/>
  <c r="J63" i="34"/>
  <c r="B63" i="34"/>
  <c r="Z62" i="34"/>
  <c r="X62" i="34"/>
  <c r="L62" i="34"/>
  <c r="N62" i="34" s="1"/>
  <c r="B62" i="34"/>
  <c r="Z61" i="34"/>
  <c r="X61" i="34"/>
  <c r="N61" i="34"/>
  <c r="L61" i="34"/>
  <c r="B61" i="34"/>
  <c r="Z60" i="34"/>
  <c r="X60" i="34"/>
  <c r="N60" i="34"/>
  <c r="L60" i="34"/>
  <c r="J60" i="34"/>
  <c r="B60" i="34"/>
  <c r="X59" i="34"/>
  <c r="Z59" i="34" s="1"/>
  <c r="N59" i="34"/>
  <c r="L59" i="34"/>
  <c r="J59" i="34"/>
  <c r="B59" i="34"/>
  <c r="Z58" i="34"/>
  <c r="X58" i="34"/>
  <c r="N58" i="34"/>
  <c r="L58" i="34"/>
  <c r="B58" i="34"/>
  <c r="Z57" i="34"/>
  <c r="X57" i="34"/>
  <c r="N57" i="34"/>
  <c r="L57" i="34"/>
  <c r="B57" i="34"/>
  <c r="Z56" i="34"/>
  <c r="X56" i="34"/>
  <c r="N56" i="34"/>
  <c r="L56" i="34"/>
  <c r="J56" i="34"/>
  <c r="B56" i="34"/>
  <c r="T55" i="34"/>
  <c r="P55" i="34"/>
  <c r="X55" i="34" s="1"/>
  <c r="Z55" i="34" s="1"/>
  <c r="N55" i="34"/>
  <c r="H55" i="34"/>
  <c r="D55" i="34"/>
  <c r="L55" i="34" s="1"/>
  <c r="B55" i="34"/>
  <c r="X54" i="34"/>
  <c r="Z54" i="34" s="1"/>
  <c r="N54" i="34"/>
  <c r="L54" i="34"/>
  <c r="B54" i="34"/>
  <c r="Z53" i="34"/>
  <c r="X53" i="34"/>
  <c r="V53" i="34"/>
  <c r="N53" i="34"/>
  <c r="L53" i="34"/>
  <c r="B53" i="34"/>
  <c r="X52" i="34"/>
  <c r="Z52" i="34" s="1"/>
  <c r="V52" i="34"/>
  <c r="L52" i="34"/>
  <c r="N52" i="34" s="1"/>
  <c r="B52" i="34"/>
  <c r="Z51" i="34"/>
  <c r="X51" i="34"/>
  <c r="V51" i="34"/>
  <c r="N51" i="34"/>
  <c r="L51" i="34"/>
  <c r="B51" i="34"/>
  <c r="X50" i="34"/>
  <c r="Z50" i="34" s="1"/>
  <c r="L50" i="34"/>
  <c r="N50" i="34" s="1"/>
  <c r="B50" i="34"/>
  <c r="Z49" i="34"/>
  <c r="X49" i="34"/>
  <c r="N49" i="34"/>
  <c r="L49" i="34"/>
  <c r="B49" i="34"/>
  <c r="X48" i="34"/>
  <c r="Z48" i="34" s="1"/>
  <c r="L48" i="34"/>
  <c r="N48" i="34" s="1"/>
  <c r="J48" i="34"/>
  <c r="B48" i="34"/>
  <c r="Z47" i="34"/>
  <c r="X47" i="34"/>
  <c r="L47" i="34"/>
  <c r="N47" i="34" s="1"/>
  <c r="J47" i="34"/>
  <c r="B47" i="34"/>
  <c r="X46" i="34"/>
  <c r="Z46" i="34" s="1"/>
  <c r="N46" i="34"/>
  <c r="L46" i="34"/>
  <c r="B46" i="34"/>
  <c r="T45" i="34"/>
  <c r="P45" i="34"/>
  <c r="L45" i="34"/>
  <c r="N45" i="34" s="1"/>
  <c r="J45" i="34"/>
  <c r="H45" i="34"/>
  <c r="D45" i="34"/>
  <c r="B45" i="34"/>
  <c r="T44" i="34" a="1"/>
  <c r="T44" i="34" s="1"/>
  <c r="P44" i="34" a="1"/>
  <c r="P44" i="34" s="1"/>
  <c r="X44" i="34" s="1"/>
  <c r="H44" i="34" a="1"/>
  <c r="H44" i="34" s="1"/>
  <c r="D44" i="34" a="1"/>
  <c r="D44" i="34" s="1"/>
  <c r="H42" i="34"/>
  <c r="H129" i="34" s="1"/>
  <c r="Z40" i="34"/>
  <c r="X40" i="34"/>
  <c r="V40" i="34"/>
  <c r="N40" i="34"/>
  <c r="L40" i="34"/>
  <c r="J40" i="34"/>
  <c r="B40" i="34"/>
  <c r="Z39" i="34"/>
  <c r="X39" i="34"/>
  <c r="V39" i="34"/>
  <c r="N39" i="34"/>
  <c r="L39" i="34"/>
  <c r="J39" i="34"/>
  <c r="B39" i="34"/>
  <c r="Z38" i="34"/>
  <c r="X38" i="34"/>
  <c r="N38" i="34"/>
  <c r="L38" i="34"/>
  <c r="B38" i="34"/>
  <c r="Z37" i="34"/>
  <c r="X37" i="34"/>
  <c r="V37" i="34"/>
  <c r="N37" i="34"/>
  <c r="L37" i="34"/>
  <c r="J37" i="34"/>
  <c r="B37" i="34"/>
  <c r="Z36" i="34"/>
  <c r="X36" i="34"/>
  <c r="V36" i="34"/>
  <c r="N36" i="34"/>
  <c r="L36" i="34"/>
  <c r="J36" i="34"/>
  <c r="B36" i="34"/>
  <c r="Z35" i="34"/>
  <c r="X35" i="34"/>
  <c r="V35" i="34"/>
  <c r="N35" i="34"/>
  <c r="L35" i="34"/>
  <c r="J35" i="34"/>
  <c r="B35" i="34"/>
  <c r="Z34" i="34"/>
  <c r="X34" i="34"/>
  <c r="N34" i="34"/>
  <c r="L34" i="34"/>
  <c r="J34" i="34"/>
  <c r="B34" i="34"/>
  <c r="Z33" i="34"/>
  <c r="X33" i="34"/>
  <c r="V33" i="34"/>
  <c r="N33" i="34"/>
  <c r="L33" i="34"/>
  <c r="J33" i="34"/>
  <c r="B33" i="34"/>
  <c r="Z32" i="34"/>
  <c r="X32" i="34"/>
  <c r="N32" i="34"/>
  <c r="L32" i="34"/>
  <c r="B32" i="34"/>
  <c r="Z31" i="34"/>
  <c r="X31" i="34"/>
  <c r="V31" i="34"/>
  <c r="N31" i="34"/>
  <c r="L31" i="34"/>
  <c r="J31" i="34"/>
  <c r="B31" i="34"/>
  <c r="Z30" i="34"/>
  <c r="X30" i="34"/>
  <c r="V30" i="34"/>
  <c r="N30" i="34"/>
  <c r="L30" i="34"/>
  <c r="J30" i="34"/>
  <c r="B30" i="34"/>
  <c r="Z29" i="34"/>
  <c r="X29" i="34"/>
  <c r="V29" i="34"/>
  <c r="N29" i="34"/>
  <c r="L29" i="34"/>
  <c r="J29" i="34"/>
  <c r="B29" i="34"/>
  <c r="Z28" i="34"/>
  <c r="X28" i="34"/>
  <c r="N28" i="34"/>
  <c r="L28" i="34"/>
  <c r="B28" i="34"/>
  <c r="Z27" i="34"/>
  <c r="X27" i="34"/>
  <c r="V27" i="34"/>
  <c r="N27" i="34"/>
  <c r="L27" i="34"/>
  <c r="J27" i="34"/>
  <c r="B27" i="34"/>
  <c r="Z26" i="34"/>
  <c r="X26" i="34"/>
  <c r="V26" i="34"/>
  <c r="N26" i="34"/>
  <c r="L26" i="34"/>
  <c r="J26" i="34"/>
  <c r="B26" i="34"/>
  <c r="Z25" i="34"/>
  <c r="X25" i="34"/>
  <c r="V25" i="34"/>
  <c r="N25" i="34"/>
  <c r="L25" i="34"/>
  <c r="J25" i="34"/>
  <c r="B25" i="34"/>
  <c r="Z24" i="34"/>
  <c r="X24" i="34"/>
  <c r="N24" i="34"/>
  <c r="L24" i="34"/>
  <c r="B24" i="34"/>
  <c r="Z23" i="34"/>
  <c r="X23" i="34"/>
  <c r="V23" i="34"/>
  <c r="N23" i="34"/>
  <c r="L23" i="34"/>
  <c r="J23" i="34"/>
  <c r="B23" i="34"/>
  <c r="Z22" i="34"/>
  <c r="X22" i="34"/>
  <c r="V22" i="34"/>
  <c r="N22" i="34"/>
  <c r="L22" i="34"/>
  <c r="J22" i="34"/>
  <c r="B22" i="34"/>
  <c r="Z21" i="34"/>
  <c r="X21" i="34"/>
  <c r="V21" i="34"/>
  <c r="N21" i="34"/>
  <c r="L21" i="34"/>
  <c r="J21" i="34"/>
  <c r="B21" i="34"/>
  <c r="Z20" i="34"/>
  <c r="X20" i="34"/>
  <c r="L20" i="34"/>
  <c r="N20" i="34" s="1"/>
  <c r="B20" i="34"/>
  <c r="V19" i="34"/>
  <c r="T19" i="34"/>
  <c r="T42" i="34" s="1"/>
  <c r="P19" i="34"/>
  <c r="X19" i="34" s="1"/>
  <c r="Z19" i="34" s="1"/>
  <c r="N19" i="34"/>
  <c r="L19" i="34"/>
  <c r="J19" i="34"/>
  <c r="H19" i="34"/>
  <c r="D19" i="34"/>
  <c r="Z17" i="34"/>
  <c r="P17" i="34"/>
  <c r="X17" i="34" s="1"/>
  <c r="N17" i="34"/>
  <c r="L17" i="34"/>
  <c r="D17" i="34"/>
  <c r="B17" i="34"/>
  <c r="Z16" i="34"/>
  <c r="X16" i="34"/>
  <c r="P16" i="34"/>
  <c r="N16" i="34"/>
  <c r="L16" i="34"/>
  <c r="D16" i="34"/>
  <c r="B16" i="34"/>
  <c r="Z15" i="34"/>
  <c r="P15" i="34"/>
  <c r="P12" i="34" s="1"/>
  <c r="N15" i="34"/>
  <c r="L15" i="34"/>
  <c r="D15" i="34"/>
  <c r="B15" i="34"/>
  <c r="X14" i="34"/>
  <c r="Z14" i="34" s="1"/>
  <c r="P14" i="34"/>
  <c r="D14" i="34"/>
  <c r="L14" i="34" s="1"/>
  <c r="N14" i="34" s="1"/>
  <c r="B14" i="34"/>
  <c r="P13" i="34"/>
  <c r="X13" i="34" s="1"/>
  <c r="Z13" i="34" s="1"/>
  <c r="L13" i="34"/>
  <c r="N13" i="34" s="1"/>
  <c r="D13" i="34"/>
  <c r="B13" i="34"/>
  <c r="T12" i="34"/>
  <c r="V99" i="34" s="1"/>
  <c r="H12" i="34"/>
  <c r="J101" i="34" s="1"/>
  <c r="D12" i="34"/>
  <c r="F102" i="34" s="1"/>
  <c r="D4" i="34"/>
  <c r="B39" i="33"/>
  <c r="B38" i="33"/>
  <c r="T34" i="33"/>
  <c r="Z34" i="33" s="1"/>
  <c r="P34" i="33"/>
  <c r="H34" i="33"/>
  <c r="N34" i="33" s="1"/>
  <c r="D34" i="33"/>
  <c r="L34" i="33" s="1"/>
  <c r="T33" i="33"/>
  <c r="Z33" i="33" s="1"/>
  <c r="P33" i="33"/>
  <c r="H33" i="33"/>
  <c r="N33" i="33" s="1"/>
  <c r="D33" i="33"/>
  <c r="T29" i="33"/>
  <c r="Z29" i="33" s="1"/>
  <c r="P29" i="33"/>
  <c r="H29" i="33"/>
  <c r="N29" i="33" s="1"/>
  <c r="D29" i="33"/>
  <c r="L29" i="33" s="1"/>
  <c r="T25" i="33"/>
  <c r="Z25" i="33" s="1"/>
  <c r="P25" i="33"/>
  <c r="H25" i="33"/>
  <c r="N25" i="33" s="1"/>
  <c r="D25" i="33"/>
  <c r="B25" i="33"/>
  <c r="T24" i="33"/>
  <c r="Z24" i="33" s="1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X21" i="33" s="1"/>
  <c r="H21" i="33"/>
  <c r="N21" i="33" s="1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Z15" i="33" s="1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V22" i="33" s="1"/>
  <c r="P12" i="33"/>
  <c r="R18" i="33" s="1"/>
  <c r="H12" i="33"/>
  <c r="J20" i="33" s="1"/>
  <c r="D12" i="33"/>
  <c r="F22" i="33" s="1"/>
  <c r="D5" i="33"/>
  <c r="D4" i="33"/>
  <c r="B39" i="32"/>
  <c r="B38" i="32"/>
  <c r="T34" i="32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36" i="32" s="1"/>
  <c r="P12" i="32"/>
  <c r="R21" i="32" s="1"/>
  <c r="H12" i="32"/>
  <c r="J20" i="32" s="1"/>
  <c r="D12" i="32"/>
  <c r="F36" i="32" s="1"/>
  <c r="D5" i="32"/>
  <c r="D4" i="32"/>
  <c r="Z80" i="31"/>
  <c r="X80" i="31"/>
  <c r="N80" i="31"/>
  <c r="L80" i="31"/>
  <c r="Z76" i="31"/>
  <c r="X76" i="31"/>
  <c r="P76" i="31"/>
  <c r="N76" i="31"/>
  <c r="D76" i="31"/>
  <c r="L76" i="31" s="1"/>
  <c r="B76" i="31"/>
  <c r="T75" i="31"/>
  <c r="Z75" i="31" s="1"/>
  <c r="P75" i="31"/>
  <c r="X75" i="31" s="1"/>
  <c r="N75" i="31"/>
  <c r="H75" i="31"/>
  <c r="X73" i="31"/>
  <c r="Z73" i="31" s="1"/>
  <c r="L73" i="31"/>
  <c r="N73" i="31" s="1"/>
  <c r="B73" i="31"/>
  <c r="Z72" i="31"/>
  <c r="X72" i="31"/>
  <c r="T72" i="31"/>
  <c r="P72" i="31"/>
  <c r="H72" i="31"/>
  <c r="L72" i="31" s="1"/>
  <c r="D72" i="31"/>
  <c r="B72" i="31"/>
  <c r="X71" i="31"/>
  <c r="Z71" i="31" s="1"/>
  <c r="N71" i="31"/>
  <c r="L71" i="31"/>
  <c r="B71" i="31"/>
  <c r="Z70" i="31"/>
  <c r="X70" i="31"/>
  <c r="V70" i="31"/>
  <c r="N70" i="31"/>
  <c r="L70" i="31"/>
  <c r="B70" i="31"/>
  <c r="X69" i="31"/>
  <c r="Z69" i="31" s="1"/>
  <c r="L69" i="31"/>
  <c r="N69" i="31" s="1"/>
  <c r="B69" i="31"/>
  <c r="Z68" i="31"/>
  <c r="X68" i="31"/>
  <c r="N68" i="31"/>
  <c r="L68" i="31"/>
  <c r="B68" i="31"/>
  <c r="Z67" i="31"/>
  <c r="X67" i="31"/>
  <c r="N67" i="31"/>
  <c r="L67" i="31"/>
  <c r="B67" i="31"/>
  <c r="T66" i="31"/>
  <c r="P66" i="31"/>
  <c r="X66" i="31" s="1"/>
  <c r="Z66" i="31" s="1"/>
  <c r="N66" i="31"/>
  <c r="L66" i="31"/>
  <c r="H66" i="31"/>
  <c r="D66" i="31"/>
  <c r="B66" i="31"/>
  <c r="Z65" i="31"/>
  <c r="X65" i="31"/>
  <c r="N65" i="31"/>
  <c r="L65" i="31"/>
  <c r="B65" i="31"/>
  <c r="Z64" i="31"/>
  <c r="X64" i="31"/>
  <c r="T64" i="31"/>
  <c r="P64" i="31"/>
  <c r="H64" i="31"/>
  <c r="L64" i="31" s="1"/>
  <c r="D64" i="31"/>
  <c r="B64" i="31"/>
  <c r="X63" i="31"/>
  <c r="Z63" i="31" s="1"/>
  <c r="N63" i="31"/>
  <c r="L63" i="31"/>
  <c r="B63" i="31"/>
  <c r="V62" i="31"/>
  <c r="T62" i="31"/>
  <c r="X62" i="31" s="1"/>
  <c r="P62" i="31"/>
  <c r="H62" i="31"/>
  <c r="D62" i="31"/>
  <c r="L62" i="31" s="1"/>
  <c r="N62" i="31" s="1"/>
  <c r="B62" i="31"/>
  <c r="Z61" i="31"/>
  <c r="X61" i="31"/>
  <c r="N61" i="31"/>
  <c r="L61" i="31"/>
  <c r="B61" i="31"/>
  <c r="Z60" i="31"/>
  <c r="X60" i="31"/>
  <c r="N60" i="31"/>
  <c r="L60" i="31"/>
  <c r="B60" i="31"/>
  <c r="X59" i="31"/>
  <c r="Z59" i="31" s="1"/>
  <c r="N59" i="31"/>
  <c r="L59" i="31"/>
  <c r="B59" i="31"/>
  <c r="V58" i="31"/>
  <c r="T58" i="31"/>
  <c r="X58" i="31" s="1"/>
  <c r="P58" i="31"/>
  <c r="H58" i="31"/>
  <c r="D58" i="31"/>
  <c r="L58" i="31" s="1"/>
  <c r="N58" i="31" s="1"/>
  <c r="B58" i="31"/>
  <c r="Z57" i="31"/>
  <c r="X57" i="31"/>
  <c r="N57" i="31"/>
  <c r="L57" i="31"/>
  <c r="B57" i="31"/>
  <c r="Z56" i="31"/>
  <c r="T56" i="31"/>
  <c r="P56" i="31"/>
  <c r="X56" i="31" s="1"/>
  <c r="N56" i="31"/>
  <c r="H56" i="31"/>
  <c r="D56" i="31"/>
  <c r="L56" i="31" s="1"/>
  <c r="B56" i="31"/>
  <c r="Z55" i="31"/>
  <c r="X55" i="31"/>
  <c r="L55" i="31"/>
  <c r="N55" i="31" s="1"/>
  <c r="B55" i="31"/>
  <c r="Z54" i="31"/>
  <c r="X54" i="31"/>
  <c r="N54" i="31"/>
  <c r="L54" i="31"/>
  <c r="B54" i="31"/>
  <c r="T53" i="31"/>
  <c r="Z53" i="31" s="1"/>
  <c r="P53" i="31"/>
  <c r="X53" i="31" s="1"/>
  <c r="N53" i="31"/>
  <c r="L53" i="31"/>
  <c r="H53" i="31"/>
  <c r="D53" i="31"/>
  <c r="B53" i="31"/>
  <c r="Z52" i="31"/>
  <c r="X52" i="31"/>
  <c r="N52" i="31"/>
  <c r="L52" i="31"/>
  <c r="B52" i="31"/>
  <c r="Z51" i="31"/>
  <c r="X51" i="31"/>
  <c r="T51" i="31"/>
  <c r="P51" i="31"/>
  <c r="L51" i="31"/>
  <c r="H51" i="31"/>
  <c r="N51" i="31" s="1"/>
  <c r="D51" i="31"/>
  <c r="B51" i="31"/>
  <c r="Z50" i="31"/>
  <c r="X50" i="31"/>
  <c r="V50" i="31"/>
  <c r="N50" i="31"/>
  <c r="L50" i="31"/>
  <c r="B50" i="31"/>
  <c r="X49" i="31"/>
  <c r="V49" i="31"/>
  <c r="T49" i="31"/>
  <c r="Z49" i="31" s="1"/>
  <c r="P49" i="31"/>
  <c r="H49" i="31"/>
  <c r="N49" i="31" s="1"/>
  <c r="D49" i="31"/>
  <c r="L49" i="31" s="1"/>
  <c r="B49" i="31"/>
  <c r="Z48" i="31"/>
  <c r="X48" i="31"/>
  <c r="N48" i="31"/>
  <c r="L48" i="31"/>
  <c r="B48" i="31"/>
  <c r="T47" i="31"/>
  <c r="Z47" i="31" s="1"/>
  <c r="P47" i="31"/>
  <c r="X47" i="31" s="1"/>
  <c r="H47" i="31"/>
  <c r="N47" i="31" s="1"/>
  <c r="D47" i="31"/>
  <c r="L47" i="31" s="1"/>
  <c r="B47" i="31"/>
  <c r="Z46" i="31"/>
  <c r="X46" i="31"/>
  <c r="N46" i="31"/>
  <c r="L46" i="31"/>
  <c r="J46" i="31"/>
  <c r="B46" i="31"/>
  <c r="Z45" i="31"/>
  <c r="X45" i="31"/>
  <c r="N45" i="31"/>
  <c r="L45" i="31"/>
  <c r="B45" i="31"/>
  <c r="Z44" i="31"/>
  <c r="X44" i="31"/>
  <c r="N44" i="31"/>
  <c r="L44" i="31"/>
  <c r="B44" i="31"/>
  <c r="X43" i="31"/>
  <c r="Z43" i="31" s="1"/>
  <c r="N43" i="31"/>
  <c r="L43" i="31"/>
  <c r="B43" i="31"/>
  <c r="Z42" i="31"/>
  <c r="X42" i="31"/>
  <c r="V42" i="31"/>
  <c r="N42" i="31"/>
  <c r="L42" i="31"/>
  <c r="B42" i="31"/>
  <c r="Z41" i="31"/>
  <c r="X41" i="31"/>
  <c r="V41" i="31"/>
  <c r="N41" i="31"/>
  <c r="L41" i="31"/>
  <c r="B41" i="31"/>
  <c r="Z40" i="31"/>
  <c r="X40" i="31"/>
  <c r="N40" i="31"/>
  <c r="L40" i="31"/>
  <c r="B40" i="31"/>
  <c r="Z39" i="31"/>
  <c r="X39" i="31"/>
  <c r="N39" i="31"/>
  <c r="L39" i="31"/>
  <c r="B39" i="31"/>
  <c r="Z38" i="31"/>
  <c r="X38" i="31"/>
  <c r="N38" i="31"/>
  <c r="L38" i="31"/>
  <c r="J38" i="31"/>
  <c r="B38" i="31"/>
  <c r="Z37" i="31"/>
  <c r="X37" i="31"/>
  <c r="N37" i="31"/>
  <c r="L37" i="31"/>
  <c r="B37" i="31"/>
  <c r="T36" i="31"/>
  <c r="P36" i="31"/>
  <c r="X36" i="31" s="1"/>
  <c r="Z36" i="31" s="1"/>
  <c r="H36" i="31"/>
  <c r="D36" i="31"/>
  <c r="L36" i="31" s="1"/>
  <c r="N36" i="31" s="1"/>
  <c r="B36" i="31"/>
  <c r="Z35" i="31"/>
  <c r="X35" i="31"/>
  <c r="L35" i="31"/>
  <c r="N35" i="31" s="1"/>
  <c r="B35" i="31"/>
  <c r="Z34" i="31"/>
  <c r="X34" i="31"/>
  <c r="N34" i="31"/>
  <c r="L34" i="31"/>
  <c r="J34" i="31"/>
  <c r="B34" i="31"/>
  <c r="X33" i="31"/>
  <c r="Z33" i="31" s="1"/>
  <c r="L33" i="31"/>
  <c r="N33" i="31" s="1"/>
  <c r="J33" i="31"/>
  <c r="B33" i="31"/>
  <c r="Z32" i="31"/>
  <c r="X32" i="31"/>
  <c r="N32" i="31"/>
  <c r="L32" i="31"/>
  <c r="B32" i="31"/>
  <c r="X31" i="31"/>
  <c r="Z31" i="31" s="1"/>
  <c r="N31" i="31"/>
  <c r="L31" i="31"/>
  <c r="B31" i="31"/>
  <c r="Z30" i="31"/>
  <c r="X30" i="31"/>
  <c r="V30" i="31"/>
  <c r="N30" i="31"/>
  <c r="L30" i="31"/>
  <c r="B30" i="31"/>
  <c r="X29" i="31"/>
  <c r="Z29" i="31" s="1"/>
  <c r="V29" i="31"/>
  <c r="L29" i="31"/>
  <c r="N29" i="31" s="1"/>
  <c r="B29" i="31"/>
  <c r="Z28" i="31"/>
  <c r="X28" i="31"/>
  <c r="V28" i="31"/>
  <c r="N28" i="31"/>
  <c r="L28" i="31"/>
  <c r="B28" i="31"/>
  <c r="Z27" i="31"/>
  <c r="X27" i="31"/>
  <c r="L27" i="31"/>
  <c r="N27" i="31" s="1"/>
  <c r="B27" i="31"/>
  <c r="T26" i="31"/>
  <c r="P26" i="31"/>
  <c r="X26" i="31" s="1"/>
  <c r="Z26" i="31" s="1"/>
  <c r="N26" i="31"/>
  <c r="L26" i="31"/>
  <c r="H26" i="31"/>
  <c r="D26" i="31"/>
  <c r="B26" i="31"/>
  <c r="T25" i="31" a="1"/>
  <c r="T25" i="31" s="1"/>
  <c r="P25" i="31" a="1"/>
  <c r="P25" i="31" s="1"/>
  <c r="X25" i="31" s="1"/>
  <c r="H25" i="31" a="1"/>
  <c r="H25" i="31" s="1"/>
  <c r="D25" i="31" a="1"/>
  <c r="D25" i="31" s="1"/>
  <c r="H23" i="31"/>
  <c r="Z21" i="31"/>
  <c r="X21" i="31"/>
  <c r="V21" i="31"/>
  <c r="N21" i="31"/>
  <c r="L21" i="31"/>
  <c r="J21" i="31"/>
  <c r="B21" i="31"/>
  <c r="Z20" i="31"/>
  <c r="X20" i="31"/>
  <c r="N20" i="31"/>
  <c r="L20" i="31"/>
  <c r="B20" i="31"/>
  <c r="T19" i="31"/>
  <c r="T23" i="31" s="1"/>
  <c r="P19" i="31"/>
  <c r="X19" i="31" s="1"/>
  <c r="H19" i="31"/>
  <c r="N19" i="31" s="1"/>
  <c r="D19" i="31"/>
  <c r="L19" i="31" s="1"/>
  <c r="Z17" i="31"/>
  <c r="X17" i="31"/>
  <c r="P17" i="31"/>
  <c r="N17" i="31"/>
  <c r="L17" i="31"/>
  <c r="D17" i="31"/>
  <c r="B17" i="31"/>
  <c r="Z16" i="31"/>
  <c r="X16" i="31"/>
  <c r="P16" i="31"/>
  <c r="N16" i="31"/>
  <c r="D16" i="31"/>
  <c r="L16" i="31" s="1"/>
  <c r="B16" i="31"/>
  <c r="Z15" i="31"/>
  <c r="X15" i="31"/>
  <c r="P15" i="31"/>
  <c r="N15" i="31"/>
  <c r="D15" i="31"/>
  <c r="L15" i="31" s="1"/>
  <c r="B15" i="31"/>
  <c r="P14" i="31"/>
  <c r="X14" i="31" s="1"/>
  <c r="Z14" i="31" s="1"/>
  <c r="N14" i="31"/>
  <c r="L14" i="31"/>
  <c r="D14" i="31"/>
  <c r="B14" i="31"/>
  <c r="Z13" i="31"/>
  <c r="X13" i="31"/>
  <c r="P13" i="31"/>
  <c r="N13" i="31"/>
  <c r="L13" i="31"/>
  <c r="D13" i="31"/>
  <c r="D12" i="31" s="1"/>
  <c r="B13" i="31"/>
  <c r="T12" i="31"/>
  <c r="V71" i="31" s="1"/>
  <c r="H12" i="31"/>
  <c r="J76" i="31" s="1"/>
  <c r="D4" i="31"/>
  <c r="B39" i="30"/>
  <c r="B38" i="30"/>
  <c r="T34" i="30"/>
  <c r="Z34" i="30" s="1"/>
  <c r="P34" i="30"/>
  <c r="H34" i="30"/>
  <c r="N34" i="30" s="1"/>
  <c r="D34" i="30"/>
  <c r="T33" i="30"/>
  <c r="Z33" i="30" s="1"/>
  <c r="P33" i="30"/>
  <c r="H33" i="30"/>
  <c r="N33" i="30" s="1"/>
  <c r="D33" i="30"/>
  <c r="T29" i="30"/>
  <c r="P29" i="30"/>
  <c r="H29" i="30"/>
  <c r="N29" i="30" s="1"/>
  <c r="D29" i="30"/>
  <c r="T25" i="30"/>
  <c r="Z25" i="30" s="1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Z22" i="30" s="1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P12" i="30"/>
  <c r="R34" i="30" s="1"/>
  <c r="H12" i="30"/>
  <c r="D12" i="30"/>
  <c r="F21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P15" i="29"/>
  <c r="H15" i="29"/>
  <c r="N15" i="29" s="1"/>
  <c r="D15" i="29"/>
  <c r="T13" i="29"/>
  <c r="P13" i="29"/>
  <c r="H13" i="29"/>
  <c r="N13" i="29" s="1"/>
  <c r="D13" i="29"/>
  <c r="B13" i="29"/>
  <c r="T12" i="29"/>
  <c r="P12" i="29"/>
  <c r="R20" i="29" s="1"/>
  <c r="H12" i="29"/>
  <c r="J18" i="29" s="1"/>
  <c r="D12" i="29"/>
  <c r="F24" i="29" s="1"/>
  <c r="D5" i="29"/>
  <c r="D4" i="29"/>
  <c r="X126" i="28"/>
  <c r="Z126" i="28" s="1"/>
  <c r="L126" i="28"/>
  <c r="N126" i="28" s="1"/>
  <c r="Z122" i="28"/>
  <c r="X122" i="28"/>
  <c r="P122" i="28"/>
  <c r="N122" i="28"/>
  <c r="L122" i="28"/>
  <c r="D122" i="28"/>
  <c r="B122" i="28"/>
  <c r="P121" i="28"/>
  <c r="X121" i="28" s="1"/>
  <c r="Z121" i="28" s="1"/>
  <c r="N121" i="28"/>
  <c r="L121" i="28"/>
  <c r="D121" i="28"/>
  <c r="B121" i="28"/>
  <c r="Z120" i="28"/>
  <c r="X120" i="28"/>
  <c r="P120" i="28"/>
  <c r="D120" i="28"/>
  <c r="L120" i="28" s="1"/>
  <c r="N120" i="28" s="1"/>
  <c r="B120" i="28"/>
  <c r="T119" i="28"/>
  <c r="P119" i="28"/>
  <c r="X119" i="28" s="1"/>
  <c r="Z119" i="28" s="1"/>
  <c r="H119" i="28"/>
  <c r="Z117" i="28"/>
  <c r="X117" i="28"/>
  <c r="N117" i="28"/>
  <c r="L117" i="28"/>
  <c r="B117" i="28"/>
  <c r="Z116" i="28"/>
  <c r="X116" i="28"/>
  <c r="T116" i="28"/>
  <c r="P116" i="28"/>
  <c r="L116" i="28"/>
  <c r="H116" i="28"/>
  <c r="N116" i="28" s="1"/>
  <c r="D116" i="28"/>
  <c r="B116" i="28"/>
  <c r="Z115" i="28"/>
  <c r="X115" i="28"/>
  <c r="N115" i="28"/>
  <c r="L115" i="28"/>
  <c r="B115" i="28"/>
  <c r="X114" i="28"/>
  <c r="Z114" i="28" s="1"/>
  <c r="L114" i="28"/>
  <c r="N114" i="28" s="1"/>
  <c r="B114" i="28"/>
  <c r="Z113" i="28"/>
  <c r="X113" i="28"/>
  <c r="T113" i="28"/>
  <c r="P113" i="28"/>
  <c r="H113" i="28"/>
  <c r="L113" i="28" s="1"/>
  <c r="D113" i="28"/>
  <c r="B113" i="28"/>
  <c r="Z112" i="28"/>
  <c r="X112" i="28"/>
  <c r="N112" i="28"/>
  <c r="L112" i="28"/>
  <c r="B112" i="28"/>
  <c r="T111" i="28"/>
  <c r="Z111" i="28" s="1"/>
  <c r="P111" i="28"/>
  <c r="X111" i="28" s="1"/>
  <c r="N111" i="28"/>
  <c r="H111" i="28"/>
  <c r="D111" i="28"/>
  <c r="L111" i="28" s="1"/>
  <c r="B111" i="28"/>
  <c r="X110" i="28"/>
  <c r="Z110" i="28" s="1"/>
  <c r="L110" i="28"/>
  <c r="N110" i="28" s="1"/>
  <c r="B110" i="28"/>
  <c r="T109" i="28"/>
  <c r="P109" i="28"/>
  <c r="X109" i="28" s="1"/>
  <c r="Z109" i="28" s="1"/>
  <c r="H109" i="28"/>
  <c r="D109" i="28"/>
  <c r="L109" i="28" s="1"/>
  <c r="N109" i="28" s="1"/>
  <c r="B109" i="28"/>
  <c r="Z108" i="28"/>
  <c r="X108" i="28"/>
  <c r="N108" i="28"/>
  <c r="L108" i="28"/>
  <c r="B108" i="28"/>
  <c r="Z107" i="28"/>
  <c r="X107" i="28"/>
  <c r="N107" i="28"/>
  <c r="L107" i="28"/>
  <c r="J107" i="28"/>
  <c r="B107" i="28"/>
  <c r="X106" i="28"/>
  <c r="Z106" i="28" s="1"/>
  <c r="L106" i="28"/>
  <c r="N106" i="28" s="1"/>
  <c r="B106" i="28"/>
  <c r="Z105" i="28"/>
  <c r="X105" i="28"/>
  <c r="N105" i="28"/>
  <c r="L105" i="28"/>
  <c r="B105" i="28"/>
  <c r="Z104" i="28"/>
  <c r="X104" i="28"/>
  <c r="N104" i="28"/>
  <c r="L104" i="28"/>
  <c r="B104" i="28"/>
  <c r="V103" i="28"/>
  <c r="T103" i="28"/>
  <c r="P103" i="28"/>
  <c r="X103" i="28" s="1"/>
  <c r="H103" i="28"/>
  <c r="D103" i="28"/>
  <c r="L103" i="28" s="1"/>
  <c r="N103" i="28" s="1"/>
  <c r="B103" i="28"/>
  <c r="X102" i="28"/>
  <c r="Z102" i="28" s="1"/>
  <c r="L102" i="28"/>
  <c r="N102" i="28" s="1"/>
  <c r="B102" i="28"/>
  <c r="Z101" i="28"/>
  <c r="X101" i="28"/>
  <c r="N101" i="28"/>
  <c r="L101" i="28"/>
  <c r="B101" i="28"/>
  <c r="T100" i="28"/>
  <c r="P100" i="28"/>
  <c r="X100" i="28" s="1"/>
  <c r="H100" i="28"/>
  <c r="N100" i="28" s="1"/>
  <c r="D100" i="28"/>
  <c r="L100" i="28" s="1"/>
  <c r="B100" i="28"/>
  <c r="Z99" i="28"/>
  <c r="X99" i="28"/>
  <c r="N99" i="28"/>
  <c r="L99" i="28"/>
  <c r="B99" i="28"/>
  <c r="X98" i="28"/>
  <c r="Z98" i="28" s="1"/>
  <c r="L98" i="28"/>
  <c r="N98" i="28" s="1"/>
  <c r="B98" i="28"/>
  <c r="T97" i="28"/>
  <c r="P97" i="28"/>
  <c r="X97" i="28" s="1"/>
  <c r="Z97" i="28" s="1"/>
  <c r="H97" i="28"/>
  <c r="L97" i="28" s="1"/>
  <c r="N97" i="28" s="1"/>
  <c r="D97" i="28"/>
  <c r="B97" i="28"/>
  <c r="Z96" i="28"/>
  <c r="X96" i="28"/>
  <c r="N96" i="28"/>
  <c r="L96" i="28"/>
  <c r="B96" i="28"/>
  <c r="Z95" i="28"/>
  <c r="X95" i="28"/>
  <c r="N95" i="28"/>
  <c r="L95" i="28"/>
  <c r="J95" i="28"/>
  <c r="B95" i="28"/>
  <c r="X94" i="28"/>
  <c r="Z94" i="28" s="1"/>
  <c r="L94" i="28"/>
  <c r="N94" i="28" s="1"/>
  <c r="B94" i="28"/>
  <c r="T93" i="28"/>
  <c r="P93" i="28"/>
  <c r="X93" i="28" s="1"/>
  <c r="Z93" i="28" s="1"/>
  <c r="H93" i="28"/>
  <c r="L93" i="28" s="1"/>
  <c r="N93" i="28" s="1"/>
  <c r="D93" i="28"/>
  <c r="B93" i="28"/>
  <c r="Z92" i="28"/>
  <c r="X92" i="28"/>
  <c r="N92" i="28"/>
  <c r="L92" i="28"/>
  <c r="B92" i="28"/>
  <c r="Z91" i="28"/>
  <c r="X91" i="28"/>
  <c r="N91" i="28"/>
  <c r="L91" i="28"/>
  <c r="B91" i="28"/>
  <c r="T90" i="28"/>
  <c r="Z90" i="28" s="1"/>
  <c r="P90" i="28"/>
  <c r="X90" i="28" s="1"/>
  <c r="N90" i="28"/>
  <c r="L90" i="28"/>
  <c r="H90" i="28"/>
  <c r="D90" i="28"/>
  <c r="B90" i="28"/>
  <c r="X89" i="28"/>
  <c r="Z89" i="28" s="1"/>
  <c r="N89" i="28"/>
  <c r="L89" i="28"/>
  <c r="B89" i="28"/>
  <c r="Z88" i="28"/>
  <c r="X88" i="28"/>
  <c r="T88" i="28"/>
  <c r="P88" i="28"/>
  <c r="L88" i="28"/>
  <c r="H88" i="28"/>
  <c r="D88" i="28"/>
  <c r="B88" i="28"/>
  <c r="Z87" i="28"/>
  <c r="X87" i="28"/>
  <c r="N87" i="28"/>
  <c r="L87" i="28"/>
  <c r="B87" i="28"/>
  <c r="X86" i="28"/>
  <c r="T86" i="28"/>
  <c r="Z86" i="28" s="1"/>
  <c r="P86" i="28"/>
  <c r="H86" i="28"/>
  <c r="D86" i="28"/>
  <c r="B86" i="28"/>
  <c r="Z85" i="28"/>
  <c r="X85" i="28"/>
  <c r="N85" i="28"/>
  <c r="L85" i="28"/>
  <c r="B85" i="28"/>
  <c r="T84" i="28"/>
  <c r="P84" i="28"/>
  <c r="X84" i="28" s="1"/>
  <c r="H84" i="28"/>
  <c r="N84" i="28" s="1"/>
  <c r="D84" i="28"/>
  <c r="L84" i="28" s="1"/>
  <c r="B84" i="28"/>
  <c r="Z83" i="28"/>
  <c r="X83" i="28"/>
  <c r="N83" i="28"/>
  <c r="L83" i="28"/>
  <c r="B83" i="28"/>
  <c r="T82" i="28"/>
  <c r="Z82" i="28" s="1"/>
  <c r="P82" i="28"/>
  <c r="X82" i="28" s="1"/>
  <c r="N82" i="28"/>
  <c r="L82" i="28"/>
  <c r="H82" i="28"/>
  <c r="D82" i="28"/>
  <c r="B82" i="28"/>
  <c r="Z81" i="28"/>
  <c r="X81" i="28"/>
  <c r="N81" i="28"/>
  <c r="L81" i="28"/>
  <c r="B81" i="28"/>
  <c r="Z80" i="28"/>
  <c r="X80" i="28"/>
  <c r="N80" i="28"/>
  <c r="L80" i="28"/>
  <c r="B80" i="28"/>
  <c r="T79" i="28"/>
  <c r="P79" i="28"/>
  <c r="X79" i="28" s="1"/>
  <c r="Z79" i="28" s="1"/>
  <c r="N79" i="28"/>
  <c r="L79" i="28"/>
  <c r="J79" i="28"/>
  <c r="H79" i="28"/>
  <c r="D79" i="28"/>
  <c r="B79" i="28"/>
  <c r="Z78" i="28"/>
  <c r="X78" i="28"/>
  <c r="N78" i="28"/>
  <c r="L78" i="28"/>
  <c r="B78" i="28"/>
  <c r="X77" i="28"/>
  <c r="Z77" i="28" s="1"/>
  <c r="N77" i="28"/>
  <c r="L77" i="28"/>
  <c r="B77" i="28"/>
  <c r="X76" i="28"/>
  <c r="Z76" i="28" s="1"/>
  <c r="T76" i="28"/>
  <c r="P76" i="28"/>
  <c r="L76" i="28"/>
  <c r="H76" i="28"/>
  <c r="D76" i="28"/>
  <c r="B76" i="28"/>
  <c r="Z75" i="28"/>
  <c r="X75" i="28"/>
  <c r="N75" i="28"/>
  <c r="L75" i="28"/>
  <c r="B75" i="28"/>
  <c r="T74" i="28"/>
  <c r="Z74" i="28" s="1"/>
  <c r="P74" i="28"/>
  <c r="X74" i="28" s="1"/>
  <c r="H74" i="28"/>
  <c r="N74" i="28" s="1"/>
  <c r="D74" i="28"/>
  <c r="B74" i="28"/>
  <c r="Z73" i="28"/>
  <c r="X73" i="28"/>
  <c r="L73" i="28"/>
  <c r="N73" i="28" s="1"/>
  <c r="B73" i="28"/>
  <c r="T72" i="28"/>
  <c r="P72" i="28"/>
  <c r="X72" i="28" s="1"/>
  <c r="L72" i="28"/>
  <c r="H72" i="28"/>
  <c r="D72" i="28"/>
  <c r="B72" i="28"/>
  <c r="Z71" i="28"/>
  <c r="X71" i="28"/>
  <c r="V71" i="28"/>
  <c r="N71" i="28"/>
  <c r="L71" i="28"/>
  <c r="B71" i="28"/>
  <c r="T70" i="28"/>
  <c r="Z70" i="28" s="1"/>
  <c r="P70" i="28"/>
  <c r="X70" i="28" s="1"/>
  <c r="N70" i="28"/>
  <c r="L70" i="28"/>
  <c r="H70" i="28"/>
  <c r="D70" i="28"/>
  <c r="B70" i="28"/>
  <c r="Z69" i="28"/>
  <c r="X69" i="28"/>
  <c r="V69" i="28"/>
  <c r="N69" i="28"/>
  <c r="L69" i="28"/>
  <c r="B69" i="28"/>
  <c r="X68" i="28"/>
  <c r="Z68" i="28" s="1"/>
  <c r="T68" i="28"/>
  <c r="P68" i="28"/>
  <c r="L68" i="28"/>
  <c r="H68" i="28"/>
  <c r="D68" i="28"/>
  <c r="B68" i="28"/>
  <c r="Z67" i="28"/>
  <c r="X67" i="28"/>
  <c r="N67" i="28"/>
  <c r="L67" i="28"/>
  <c r="B67" i="28"/>
  <c r="T66" i="28"/>
  <c r="P66" i="28"/>
  <c r="X66" i="28" s="1"/>
  <c r="H66" i="28"/>
  <c r="D66" i="28"/>
  <c r="B66" i="28"/>
  <c r="Z65" i="28"/>
  <c r="X65" i="28"/>
  <c r="L65" i="28"/>
  <c r="N65" i="28" s="1"/>
  <c r="B65" i="28"/>
  <c r="T64" i="28"/>
  <c r="P64" i="28"/>
  <c r="X64" i="28" s="1"/>
  <c r="H64" i="28"/>
  <c r="D64" i="28"/>
  <c r="L64" i="28" s="1"/>
  <c r="B64" i="28"/>
  <c r="Z63" i="28"/>
  <c r="X63" i="28"/>
  <c r="N63" i="28"/>
  <c r="L63" i="28"/>
  <c r="B63" i="28"/>
  <c r="Z62" i="28"/>
  <c r="X62" i="28"/>
  <c r="N62" i="28"/>
  <c r="L62" i="28"/>
  <c r="B62" i="28"/>
  <c r="Z61" i="28"/>
  <c r="X61" i="28"/>
  <c r="L61" i="28"/>
  <c r="N61" i="28" s="1"/>
  <c r="B61" i="28"/>
  <c r="X60" i="28"/>
  <c r="Z60" i="28" s="1"/>
  <c r="L60" i="28"/>
  <c r="N60" i="28" s="1"/>
  <c r="B60" i="28"/>
  <c r="Z59" i="28"/>
  <c r="X59" i="28"/>
  <c r="N59" i="28"/>
  <c r="L59" i="28"/>
  <c r="B59" i="28"/>
  <c r="Z58" i="28"/>
  <c r="X58" i="28"/>
  <c r="N58" i="28"/>
  <c r="L58" i="28"/>
  <c r="B58" i="28"/>
  <c r="X57" i="28"/>
  <c r="Z57" i="28" s="1"/>
  <c r="N57" i="28"/>
  <c r="L57" i="28"/>
  <c r="B57" i="28"/>
  <c r="Z56" i="28"/>
  <c r="X56" i="28"/>
  <c r="N56" i="28"/>
  <c r="L56" i="28"/>
  <c r="B56" i="28"/>
  <c r="Z55" i="28"/>
  <c r="X55" i="28"/>
  <c r="N55" i="28"/>
  <c r="L55" i="28"/>
  <c r="B55" i="28"/>
  <c r="Z54" i="28"/>
  <c r="X54" i="28"/>
  <c r="N54" i="28"/>
  <c r="L54" i="28"/>
  <c r="J54" i="28"/>
  <c r="B54" i="28"/>
  <c r="T53" i="28"/>
  <c r="P53" i="28"/>
  <c r="X53" i="28" s="1"/>
  <c r="Z53" i="28" s="1"/>
  <c r="N53" i="28"/>
  <c r="H53" i="28"/>
  <c r="L53" i="28" s="1"/>
  <c r="D53" i="28"/>
  <c r="B53" i="28"/>
  <c r="X52" i="28"/>
  <c r="Z52" i="28" s="1"/>
  <c r="N52" i="28"/>
  <c r="L52" i="28"/>
  <c r="B52" i="28"/>
  <c r="Z51" i="28"/>
  <c r="X51" i="28"/>
  <c r="V51" i="28"/>
  <c r="N51" i="28"/>
  <c r="L51" i="28"/>
  <c r="B51" i="28"/>
  <c r="X50" i="28"/>
  <c r="Z50" i="28" s="1"/>
  <c r="V50" i="28"/>
  <c r="L50" i="28"/>
  <c r="N50" i="28" s="1"/>
  <c r="B50" i="28"/>
  <c r="Z49" i="28"/>
  <c r="X49" i="28"/>
  <c r="V49" i="28"/>
  <c r="N49" i="28"/>
  <c r="L49" i="28"/>
  <c r="B49" i="28"/>
  <c r="Z48" i="28"/>
  <c r="X48" i="28"/>
  <c r="N48" i="28"/>
  <c r="L48" i="28"/>
  <c r="B48" i="28"/>
  <c r="Z47" i="28"/>
  <c r="X47" i="28"/>
  <c r="N47" i="28"/>
  <c r="L47" i="28"/>
  <c r="B47" i="28"/>
  <c r="X46" i="28"/>
  <c r="Z46" i="28" s="1"/>
  <c r="L46" i="28"/>
  <c r="N46" i="28" s="1"/>
  <c r="B46" i="28"/>
  <c r="X45" i="28"/>
  <c r="Z45" i="28" s="1"/>
  <c r="L45" i="28"/>
  <c r="N45" i="28" s="1"/>
  <c r="B45" i="28"/>
  <c r="X44" i="28"/>
  <c r="Z44" i="28" s="1"/>
  <c r="N44" i="28"/>
  <c r="L44" i="28"/>
  <c r="B44" i="28"/>
  <c r="T43" i="28"/>
  <c r="P43" i="28"/>
  <c r="L43" i="28"/>
  <c r="N43" i="28" s="1"/>
  <c r="H43" i="28"/>
  <c r="D43" i="28"/>
  <c r="B43" i="28"/>
  <c r="T42" i="28" a="1"/>
  <c r="T42" i="28" s="1"/>
  <c r="P42" i="28" a="1"/>
  <c r="P42" i="28" s="1"/>
  <c r="H42" i="28" a="1"/>
  <c r="H42" i="28" s="1"/>
  <c r="D42" i="28" a="1"/>
  <c r="D42" i="28" s="1"/>
  <c r="L42" i="28" s="1"/>
  <c r="H40" i="28"/>
  <c r="Z38" i="28"/>
  <c r="X38" i="28"/>
  <c r="N38" i="28"/>
  <c r="L38" i="28"/>
  <c r="B38" i="28"/>
  <c r="Z37" i="28"/>
  <c r="X37" i="28"/>
  <c r="N37" i="28"/>
  <c r="L37" i="28"/>
  <c r="B37" i="28"/>
  <c r="Z36" i="28"/>
  <c r="X36" i="28"/>
  <c r="N36" i="28"/>
  <c r="L36" i="28"/>
  <c r="B36" i="28"/>
  <c r="Z35" i="28"/>
  <c r="X35" i="28"/>
  <c r="N35" i="28"/>
  <c r="L35" i="28"/>
  <c r="B35" i="28"/>
  <c r="Z34" i="28"/>
  <c r="X34" i="28"/>
  <c r="V34" i="28"/>
  <c r="N34" i="28"/>
  <c r="L34" i="28"/>
  <c r="B34" i="28"/>
  <c r="Z33" i="28"/>
  <c r="X33" i="28"/>
  <c r="N33" i="28"/>
  <c r="L33" i="28"/>
  <c r="B33" i="28"/>
  <c r="Z32" i="28"/>
  <c r="X32" i="28"/>
  <c r="N32" i="28"/>
  <c r="L32" i="28"/>
  <c r="B32" i="28"/>
  <c r="Z31" i="28"/>
  <c r="X31" i="28"/>
  <c r="N31" i="28"/>
  <c r="L31" i="28"/>
  <c r="B31" i="28"/>
  <c r="Z30" i="28"/>
  <c r="X30" i="28"/>
  <c r="N30" i="28"/>
  <c r="L30" i="28"/>
  <c r="J30" i="28"/>
  <c r="B30" i="28"/>
  <c r="Z29" i="28"/>
  <c r="X29" i="28"/>
  <c r="N29" i="28"/>
  <c r="L29" i="28"/>
  <c r="B29" i="28"/>
  <c r="Z28" i="28"/>
  <c r="X28" i="28"/>
  <c r="N28" i="28"/>
  <c r="L28" i="28"/>
  <c r="B28" i="28"/>
  <c r="Z27" i="28"/>
  <c r="X27" i="28"/>
  <c r="N27" i="28"/>
  <c r="L27" i="28"/>
  <c r="B27" i="28"/>
  <c r="Z26" i="28"/>
  <c r="X26" i="28"/>
  <c r="V26" i="28"/>
  <c r="N26" i="28"/>
  <c r="L26" i="28"/>
  <c r="B26" i="28"/>
  <c r="Z25" i="28"/>
  <c r="X25" i="28"/>
  <c r="N25" i="28"/>
  <c r="L25" i="28"/>
  <c r="B25" i="28"/>
  <c r="Z24" i="28"/>
  <c r="X24" i="28"/>
  <c r="N24" i="28"/>
  <c r="L24" i="28"/>
  <c r="B24" i="28"/>
  <c r="Z23" i="28"/>
  <c r="X23" i="28"/>
  <c r="N23" i="28"/>
  <c r="L23" i="28"/>
  <c r="B23" i="28"/>
  <c r="Z22" i="28"/>
  <c r="X22" i="28"/>
  <c r="N22" i="28"/>
  <c r="L22" i="28"/>
  <c r="J22" i="28"/>
  <c r="B22" i="28"/>
  <c r="Z21" i="28"/>
  <c r="X21" i="28"/>
  <c r="N21" i="28"/>
  <c r="L21" i="28"/>
  <c r="B21" i="28"/>
  <c r="X20" i="28"/>
  <c r="Z20" i="28" s="1"/>
  <c r="N20" i="28"/>
  <c r="L20" i="28"/>
  <c r="B20" i="28"/>
  <c r="T19" i="28"/>
  <c r="P19" i="28"/>
  <c r="H19" i="28"/>
  <c r="N19" i="28" s="1"/>
  <c r="D19" i="28"/>
  <c r="L19" i="28" s="1"/>
  <c r="Z17" i="28"/>
  <c r="X17" i="28"/>
  <c r="P17" i="28"/>
  <c r="N17" i="28"/>
  <c r="D17" i="28"/>
  <c r="L17" i="28" s="1"/>
  <c r="B17" i="28"/>
  <c r="Z16" i="28"/>
  <c r="P16" i="28"/>
  <c r="X16" i="28" s="1"/>
  <c r="N16" i="28"/>
  <c r="D16" i="28"/>
  <c r="L16" i="28" s="1"/>
  <c r="B16" i="28"/>
  <c r="Z15" i="28"/>
  <c r="X15" i="28"/>
  <c r="P15" i="28"/>
  <c r="N15" i="28"/>
  <c r="D15" i="28"/>
  <c r="L15" i="28" s="1"/>
  <c r="B15" i="28"/>
  <c r="Z14" i="28"/>
  <c r="P14" i="28"/>
  <c r="N14" i="28"/>
  <c r="L14" i="28"/>
  <c r="D14" i="28"/>
  <c r="B14" i="28"/>
  <c r="X13" i="28"/>
  <c r="Z13" i="28" s="1"/>
  <c r="P13" i="28"/>
  <c r="N13" i="28"/>
  <c r="D13" i="28"/>
  <c r="L13" i="28" s="1"/>
  <c r="B13" i="28"/>
  <c r="T12" i="28"/>
  <c r="V86" i="28" s="1"/>
  <c r="H12" i="28"/>
  <c r="J88" i="28" s="1"/>
  <c r="D4" i="28"/>
  <c r="B39" i="27"/>
  <c r="B38" i="27"/>
  <c r="T34" i="27"/>
  <c r="Z34" i="27" s="1"/>
  <c r="P34" i="27"/>
  <c r="H34" i="27"/>
  <c r="N34" i="27" s="1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N21" i="27" s="1"/>
  <c r="D21" i="27"/>
  <c r="B21" i="27"/>
  <c r="T20" i="27"/>
  <c r="P20" i="27"/>
  <c r="H20" i="27"/>
  <c r="N20" i="27" s="1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N13" i="27" s="1"/>
  <c r="D13" i="27"/>
  <c r="B13" i="27"/>
  <c r="T12" i="27"/>
  <c r="V36" i="27" s="1"/>
  <c r="P12" i="27"/>
  <c r="R36" i="27" s="1"/>
  <c r="H12" i="27"/>
  <c r="D12" i="27"/>
  <c r="F21" i="27" s="1"/>
  <c r="D5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D13" i="26"/>
  <c r="B13" i="26"/>
  <c r="T12" i="26"/>
  <c r="V22" i="26" s="1"/>
  <c r="P12" i="26"/>
  <c r="H12" i="26"/>
  <c r="J20" i="26" s="1"/>
  <c r="D12" i="26"/>
  <c r="F18" i="26" s="1"/>
  <c r="D5" i="26"/>
  <c r="D4" i="26"/>
  <c r="X95" i="25"/>
  <c r="Z95" i="25" s="1"/>
  <c r="L95" i="25"/>
  <c r="N95" i="25" s="1"/>
  <c r="Z91" i="25"/>
  <c r="X91" i="25"/>
  <c r="P91" i="25"/>
  <c r="N91" i="25"/>
  <c r="D91" i="25"/>
  <c r="L91" i="25" s="1"/>
  <c r="B91" i="25"/>
  <c r="Z90" i="25"/>
  <c r="V90" i="25"/>
  <c r="P90" i="25"/>
  <c r="X90" i="25" s="1"/>
  <c r="N90" i="25"/>
  <c r="L90" i="25"/>
  <c r="D90" i="25"/>
  <c r="B90" i="25"/>
  <c r="X89" i="25"/>
  <c r="Z89" i="25" s="1"/>
  <c r="P89" i="25"/>
  <c r="N89" i="25"/>
  <c r="J89" i="25"/>
  <c r="D89" i="25"/>
  <c r="L89" i="25" s="1"/>
  <c r="B89" i="25"/>
  <c r="P88" i="25"/>
  <c r="L88" i="25"/>
  <c r="N88" i="25" s="1"/>
  <c r="D88" i="25"/>
  <c r="B88" i="25"/>
  <c r="T87" i="25"/>
  <c r="H87" i="25"/>
  <c r="D87" i="25"/>
  <c r="L87" i="25" s="1"/>
  <c r="Z85" i="25"/>
  <c r="X85" i="25"/>
  <c r="N85" i="25"/>
  <c r="L85" i="25"/>
  <c r="B85" i="25"/>
  <c r="Z84" i="25"/>
  <c r="X84" i="25"/>
  <c r="T84" i="25"/>
  <c r="P84" i="25"/>
  <c r="N84" i="25"/>
  <c r="H84" i="25"/>
  <c r="L84" i="25" s="1"/>
  <c r="D84" i="25"/>
  <c r="B84" i="25"/>
  <c r="X83" i="25"/>
  <c r="Z83" i="25" s="1"/>
  <c r="L83" i="25"/>
  <c r="N83" i="25" s="1"/>
  <c r="B83" i="25"/>
  <c r="Z82" i="25"/>
  <c r="X82" i="25"/>
  <c r="N82" i="25"/>
  <c r="L82" i="25"/>
  <c r="J82" i="25"/>
  <c r="B82" i="25"/>
  <c r="T81" i="25"/>
  <c r="Z81" i="25" s="1"/>
  <c r="P81" i="25"/>
  <c r="X81" i="25" s="1"/>
  <c r="L81" i="25"/>
  <c r="H81" i="25"/>
  <c r="N81" i="25" s="1"/>
  <c r="D81" i="25"/>
  <c r="B81" i="25"/>
  <c r="Z80" i="25"/>
  <c r="X80" i="25"/>
  <c r="L80" i="25"/>
  <c r="N80" i="25" s="1"/>
  <c r="B80" i="25"/>
  <c r="X79" i="25"/>
  <c r="Z79" i="25" s="1"/>
  <c r="L79" i="25"/>
  <c r="N79" i="25" s="1"/>
  <c r="B79" i="25"/>
  <c r="T78" i="25"/>
  <c r="P78" i="25"/>
  <c r="X78" i="25" s="1"/>
  <c r="Z78" i="25" s="1"/>
  <c r="H78" i="25"/>
  <c r="D78" i="25"/>
  <c r="L78" i="25" s="1"/>
  <c r="N78" i="25" s="1"/>
  <c r="B78" i="25"/>
  <c r="X77" i="25"/>
  <c r="Z77" i="25" s="1"/>
  <c r="N77" i="25"/>
  <c r="L77" i="25"/>
  <c r="B77" i="25"/>
  <c r="Z76" i="25"/>
  <c r="X76" i="25"/>
  <c r="L76" i="25"/>
  <c r="N76" i="25" s="1"/>
  <c r="B76" i="25"/>
  <c r="X75" i="25"/>
  <c r="T75" i="25"/>
  <c r="Z75" i="25" s="1"/>
  <c r="P75" i="25"/>
  <c r="L75" i="25"/>
  <c r="H75" i="25"/>
  <c r="D75" i="25"/>
  <c r="B75" i="25"/>
  <c r="Z74" i="25"/>
  <c r="X74" i="25"/>
  <c r="V74" i="25"/>
  <c r="N74" i="25"/>
  <c r="L74" i="25"/>
  <c r="B74" i="25"/>
  <c r="X73" i="25"/>
  <c r="Z73" i="25" s="1"/>
  <c r="L73" i="25"/>
  <c r="N73" i="25" s="1"/>
  <c r="B73" i="25"/>
  <c r="Z72" i="25"/>
  <c r="X72" i="25"/>
  <c r="N72" i="25"/>
  <c r="L72" i="25"/>
  <c r="B72" i="25"/>
  <c r="X71" i="25"/>
  <c r="T71" i="25"/>
  <c r="Z71" i="25" s="1"/>
  <c r="P71" i="25"/>
  <c r="L71" i="25"/>
  <c r="H71" i="25"/>
  <c r="N71" i="25" s="1"/>
  <c r="D71" i="25"/>
  <c r="B71" i="25"/>
  <c r="Z70" i="25"/>
  <c r="X70" i="25"/>
  <c r="V70" i="25"/>
  <c r="N70" i="25"/>
  <c r="L70" i="25"/>
  <c r="B70" i="25"/>
  <c r="X69" i="25"/>
  <c r="T69" i="25"/>
  <c r="Z69" i="25" s="1"/>
  <c r="P69" i="25"/>
  <c r="H69" i="25"/>
  <c r="D69" i="25"/>
  <c r="L69" i="25" s="1"/>
  <c r="B69" i="25"/>
  <c r="X68" i="25"/>
  <c r="Z68" i="25" s="1"/>
  <c r="N68" i="25"/>
  <c r="L68" i="25"/>
  <c r="B68" i="25"/>
  <c r="T67" i="25"/>
  <c r="P67" i="25"/>
  <c r="H67" i="25"/>
  <c r="N67" i="25" s="1"/>
  <c r="D67" i="25"/>
  <c r="L67" i="25" s="1"/>
  <c r="B67" i="25"/>
  <c r="Z66" i="25"/>
  <c r="X66" i="25"/>
  <c r="N66" i="25"/>
  <c r="L66" i="25"/>
  <c r="J66" i="25"/>
  <c r="B66" i="25"/>
  <c r="X65" i="25"/>
  <c r="Z65" i="25" s="1"/>
  <c r="L65" i="25"/>
  <c r="N65" i="25" s="1"/>
  <c r="B65" i="25"/>
  <c r="X64" i="25"/>
  <c r="Z64" i="25" s="1"/>
  <c r="T64" i="25"/>
  <c r="P64" i="25"/>
  <c r="H64" i="25"/>
  <c r="L64" i="25" s="1"/>
  <c r="N64" i="25" s="1"/>
  <c r="D64" i="25"/>
  <c r="B64" i="25"/>
  <c r="X63" i="25"/>
  <c r="Z63" i="25" s="1"/>
  <c r="L63" i="25"/>
  <c r="N63" i="25" s="1"/>
  <c r="B63" i="25"/>
  <c r="T62" i="25"/>
  <c r="X62" i="25" s="1"/>
  <c r="Z62" i="25" s="1"/>
  <c r="P62" i="25"/>
  <c r="H62" i="25"/>
  <c r="D62" i="25"/>
  <c r="L62" i="25" s="1"/>
  <c r="N62" i="25" s="1"/>
  <c r="B62" i="25"/>
  <c r="X61" i="25"/>
  <c r="Z61" i="25" s="1"/>
  <c r="L61" i="25"/>
  <c r="N61" i="25" s="1"/>
  <c r="B61" i="25"/>
  <c r="Z60" i="25"/>
  <c r="T60" i="25"/>
  <c r="P60" i="25"/>
  <c r="X60" i="25" s="1"/>
  <c r="J60" i="25"/>
  <c r="H60" i="25"/>
  <c r="D60" i="25"/>
  <c r="L60" i="25" s="1"/>
  <c r="N60" i="25" s="1"/>
  <c r="B60" i="25"/>
  <c r="Z59" i="25"/>
  <c r="X59" i="25"/>
  <c r="N59" i="25"/>
  <c r="L59" i="25"/>
  <c r="B59" i="25"/>
  <c r="Z58" i="25"/>
  <c r="V58" i="25"/>
  <c r="T58" i="25"/>
  <c r="P58" i="25"/>
  <c r="X58" i="25" s="1"/>
  <c r="N58" i="25"/>
  <c r="L58" i="25"/>
  <c r="H58" i="25"/>
  <c r="D58" i="25"/>
  <c r="B58" i="25"/>
  <c r="X57" i="25"/>
  <c r="Z57" i="25" s="1"/>
  <c r="L57" i="25"/>
  <c r="N57" i="25" s="1"/>
  <c r="B57" i="25"/>
  <c r="X56" i="25"/>
  <c r="Z56" i="25" s="1"/>
  <c r="T56" i="25"/>
  <c r="P56" i="25"/>
  <c r="H56" i="25"/>
  <c r="L56" i="25" s="1"/>
  <c r="N56" i="25" s="1"/>
  <c r="D56" i="25"/>
  <c r="B56" i="25"/>
  <c r="Z55" i="25"/>
  <c r="X55" i="25"/>
  <c r="N55" i="25"/>
  <c r="L55" i="25"/>
  <c r="B55" i="25"/>
  <c r="Z54" i="25"/>
  <c r="X54" i="25"/>
  <c r="N54" i="25"/>
  <c r="L54" i="25"/>
  <c r="J54" i="25"/>
  <c r="B54" i="25"/>
  <c r="X53" i="25"/>
  <c r="Z53" i="25" s="1"/>
  <c r="L53" i="25"/>
  <c r="N53" i="25" s="1"/>
  <c r="B53" i="25"/>
  <c r="X52" i="25"/>
  <c r="Z52" i="25" s="1"/>
  <c r="N52" i="25"/>
  <c r="L52" i="25"/>
  <c r="B52" i="25"/>
  <c r="Z51" i="25"/>
  <c r="X51" i="25"/>
  <c r="N51" i="25"/>
  <c r="L51" i="25"/>
  <c r="B51" i="25"/>
  <c r="Z50" i="25"/>
  <c r="X50" i="25"/>
  <c r="V50" i="25"/>
  <c r="N50" i="25"/>
  <c r="L50" i="25"/>
  <c r="B50" i="25"/>
  <c r="X49" i="25"/>
  <c r="Z49" i="25" s="1"/>
  <c r="L49" i="25"/>
  <c r="N49" i="25" s="1"/>
  <c r="B49" i="25"/>
  <c r="Z48" i="25"/>
  <c r="X48" i="25"/>
  <c r="N48" i="25"/>
  <c r="L48" i="25"/>
  <c r="B48" i="25"/>
  <c r="X47" i="25"/>
  <c r="Z47" i="25" s="1"/>
  <c r="L47" i="25"/>
  <c r="N47" i="25" s="1"/>
  <c r="B47" i="25"/>
  <c r="Z46" i="25"/>
  <c r="X46" i="25"/>
  <c r="N46" i="25"/>
  <c r="L46" i="25"/>
  <c r="J46" i="25"/>
  <c r="B46" i="25"/>
  <c r="T45" i="25"/>
  <c r="P45" i="25"/>
  <c r="X45" i="25" s="1"/>
  <c r="L45" i="25"/>
  <c r="H45" i="25"/>
  <c r="N45" i="25" s="1"/>
  <c r="D45" i="25"/>
  <c r="B45" i="25"/>
  <c r="Z44" i="25"/>
  <c r="X44" i="25"/>
  <c r="L44" i="25"/>
  <c r="N44" i="25" s="1"/>
  <c r="B44" i="25"/>
  <c r="X43" i="25"/>
  <c r="Z43" i="25" s="1"/>
  <c r="L43" i="25"/>
  <c r="N43" i="25" s="1"/>
  <c r="B43" i="25"/>
  <c r="Z42" i="25"/>
  <c r="X42" i="25"/>
  <c r="N42" i="25"/>
  <c r="L42" i="25"/>
  <c r="J42" i="25"/>
  <c r="B42" i="25"/>
  <c r="Z41" i="25"/>
  <c r="X41" i="25"/>
  <c r="N41" i="25"/>
  <c r="L41" i="25"/>
  <c r="B41" i="25"/>
  <c r="Z40" i="25"/>
  <c r="X40" i="25"/>
  <c r="N40" i="25"/>
  <c r="L40" i="25"/>
  <c r="B40" i="25"/>
  <c r="X39" i="25"/>
  <c r="Z39" i="25" s="1"/>
  <c r="L39" i="25"/>
  <c r="N39" i="25" s="1"/>
  <c r="B39" i="25"/>
  <c r="Z38" i="25"/>
  <c r="X38" i="25"/>
  <c r="V38" i="25"/>
  <c r="N38" i="25"/>
  <c r="L38" i="25"/>
  <c r="B38" i="25"/>
  <c r="X37" i="25"/>
  <c r="Z37" i="25" s="1"/>
  <c r="L37" i="25"/>
  <c r="N37" i="25" s="1"/>
  <c r="B37" i="25"/>
  <c r="Z36" i="25"/>
  <c r="X36" i="25"/>
  <c r="L36" i="25"/>
  <c r="N36" i="25" s="1"/>
  <c r="B36" i="25"/>
  <c r="X35" i="25"/>
  <c r="Z35" i="25" s="1"/>
  <c r="L35" i="25"/>
  <c r="N35" i="25" s="1"/>
  <c r="B35" i="25"/>
  <c r="T34" i="25"/>
  <c r="P34" i="25"/>
  <c r="X34" i="25" s="1"/>
  <c r="Z34" i="25" s="1"/>
  <c r="H34" i="25"/>
  <c r="D34" i="25"/>
  <c r="L34" i="25" s="1"/>
  <c r="N34" i="25" s="1"/>
  <c r="B34" i="25"/>
  <c r="T33" i="25" a="1"/>
  <c r="T33" i="25" s="1"/>
  <c r="P33" i="25" a="1"/>
  <c r="P33" i="25" s="1"/>
  <c r="X33" i="25" s="1"/>
  <c r="H33" i="25" a="1"/>
  <c r="H33" i="25" s="1"/>
  <c r="D33" i="25" a="1"/>
  <c r="D33" i="25" s="1"/>
  <c r="L33" i="25" s="1"/>
  <c r="H31" i="25"/>
  <c r="Z29" i="25"/>
  <c r="X29" i="25"/>
  <c r="V29" i="25"/>
  <c r="N29" i="25"/>
  <c r="L29" i="25"/>
  <c r="B29" i="25"/>
  <c r="Z28" i="25"/>
  <c r="X28" i="25"/>
  <c r="N28" i="25"/>
  <c r="L28" i="25"/>
  <c r="B28" i="25"/>
  <c r="Z27" i="25"/>
  <c r="X27" i="25"/>
  <c r="N27" i="25"/>
  <c r="L27" i="25"/>
  <c r="B27" i="25"/>
  <c r="Z26" i="25"/>
  <c r="X26" i="25"/>
  <c r="V26" i="25"/>
  <c r="N26" i="25"/>
  <c r="L26" i="25"/>
  <c r="B26" i="25"/>
  <c r="Z25" i="25"/>
  <c r="X25" i="25"/>
  <c r="N25" i="25"/>
  <c r="L25" i="25"/>
  <c r="B25" i="25"/>
  <c r="Z24" i="25"/>
  <c r="X24" i="25"/>
  <c r="V24" i="25"/>
  <c r="N24" i="25"/>
  <c r="L24" i="25"/>
  <c r="B24" i="25"/>
  <c r="Z23" i="25"/>
  <c r="X23" i="25"/>
  <c r="N23" i="25"/>
  <c r="L23" i="25"/>
  <c r="B23" i="25"/>
  <c r="Z22" i="25"/>
  <c r="X22" i="25"/>
  <c r="N22" i="25"/>
  <c r="L22" i="25"/>
  <c r="J22" i="25"/>
  <c r="B22" i="25"/>
  <c r="Z21" i="25"/>
  <c r="X21" i="25"/>
  <c r="V21" i="25"/>
  <c r="N21" i="25"/>
  <c r="L21" i="25"/>
  <c r="B21" i="25"/>
  <c r="X20" i="25"/>
  <c r="Z20" i="25" s="1"/>
  <c r="N20" i="25"/>
  <c r="L20" i="25"/>
  <c r="B20" i="25"/>
  <c r="T19" i="25"/>
  <c r="P19" i="25"/>
  <c r="H19" i="25"/>
  <c r="N19" i="25" s="1"/>
  <c r="D19" i="25"/>
  <c r="L19" i="25" s="1"/>
  <c r="Z17" i="25"/>
  <c r="X17" i="25"/>
  <c r="P17" i="25"/>
  <c r="N17" i="25"/>
  <c r="L17" i="25"/>
  <c r="D17" i="25"/>
  <c r="B17" i="25"/>
  <c r="Z16" i="25"/>
  <c r="P16" i="25"/>
  <c r="X16" i="25" s="1"/>
  <c r="N16" i="25"/>
  <c r="D16" i="25"/>
  <c r="L16" i="25" s="1"/>
  <c r="B16" i="25"/>
  <c r="Z15" i="25"/>
  <c r="X15" i="25"/>
  <c r="P15" i="25"/>
  <c r="N15" i="25"/>
  <c r="D15" i="25"/>
  <c r="L15" i="25" s="1"/>
  <c r="B15" i="25"/>
  <c r="Z14" i="25"/>
  <c r="P14" i="25"/>
  <c r="N14" i="25"/>
  <c r="L14" i="25"/>
  <c r="D14" i="25"/>
  <c r="B14" i="25"/>
  <c r="Z13" i="25"/>
  <c r="X13" i="25"/>
  <c r="P13" i="25"/>
  <c r="D13" i="25"/>
  <c r="L13" i="25" s="1"/>
  <c r="N13" i="25" s="1"/>
  <c r="B13" i="25"/>
  <c r="T12" i="25"/>
  <c r="H12" i="25"/>
  <c r="J85" i="25" s="1"/>
  <c r="D4" i="25"/>
  <c r="B39" i="24"/>
  <c r="B38" i="24"/>
  <c r="T34" i="24"/>
  <c r="Z34" i="24" s="1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N20" i="24" s="1"/>
  <c r="D20" i="24"/>
  <c r="T16" i="24"/>
  <c r="Z16" i="24" s="1"/>
  <c r="P16" i="24"/>
  <c r="H16" i="24"/>
  <c r="N16" i="24" s="1"/>
  <c r="D16" i="24"/>
  <c r="B16" i="24"/>
  <c r="T15" i="24"/>
  <c r="Z15" i="24" s="1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36" i="24" s="1"/>
  <c r="P12" i="24"/>
  <c r="R36" i="24" s="1"/>
  <c r="H12" i="24"/>
  <c r="N12" i="24" s="1"/>
  <c r="D12" i="24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2" i="23" s="1"/>
  <c r="P12" i="23"/>
  <c r="R31" i="23" s="1"/>
  <c r="H12" i="23"/>
  <c r="J20" i="23" s="1"/>
  <c r="D12" i="23"/>
  <c r="F18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P12" i="22"/>
  <c r="R34" i="22" s="1"/>
  <c r="H12" i="22"/>
  <c r="J36" i="22" s="1"/>
  <c r="D12" i="22"/>
  <c r="F21" i="22" s="1"/>
  <c r="D5" i="22"/>
  <c r="D4" i="22"/>
  <c r="Z99" i="21"/>
  <c r="X99" i="21"/>
  <c r="L99" i="21"/>
  <c r="N99" i="21" s="1"/>
  <c r="Z95" i="21"/>
  <c r="X95" i="21"/>
  <c r="T95" i="21"/>
  <c r="P95" i="21"/>
  <c r="H95" i="21"/>
  <c r="N95" i="21" s="1"/>
  <c r="D95" i="21"/>
  <c r="Z93" i="21"/>
  <c r="X93" i="21"/>
  <c r="N93" i="21"/>
  <c r="L93" i="21"/>
  <c r="B93" i="21"/>
  <c r="X92" i="21"/>
  <c r="T92" i="21"/>
  <c r="Z92" i="21" s="1"/>
  <c r="P92" i="21"/>
  <c r="L92" i="21"/>
  <c r="H92" i="21"/>
  <c r="N92" i="21" s="1"/>
  <c r="D92" i="21"/>
  <c r="B92" i="21"/>
  <c r="Z91" i="21"/>
  <c r="X91" i="21"/>
  <c r="V91" i="21"/>
  <c r="N91" i="21"/>
  <c r="L91" i="21"/>
  <c r="B91" i="21"/>
  <c r="X90" i="21"/>
  <c r="T90" i="21"/>
  <c r="Z90" i="21" s="1"/>
  <c r="P90" i="21"/>
  <c r="H90" i="21"/>
  <c r="N90" i="21" s="1"/>
  <c r="D90" i="21"/>
  <c r="L90" i="21" s="1"/>
  <c r="B90" i="21"/>
  <c r="X89" i="21"/>
  <c r="Z89" i="21" s="1"/>
  <c r="N89" i="21"/>
  <c r="L89" i="21"/>
  <c r="B89" i="21"/>
  <c r="Z88" i="21"/>
  <c r="X88" i="21"/>
  <c r="L88" i="21"/>
  <c r="N88" i="21" s="1"/>
  <c r="B88" i="21"/>
  <c r="V87" i="21"/>
  <c r="T87" i="21"/>
  <c r="P87" i="21"/>
  <c r="X87" i="21" s="1"/>
  <c r="Z87" i="21" s="1"/>
  <c r="L87" i="21"/>
  <c r="N87" i="21" s="1"/>
  <c r="H87" i="21"/>
  <c r="D87" i="21"/>
  <c r="B87" i="21"/>
  <c r="X86" i="21"/>
  <c r="Z86" i="21" s="1"/>
  <c r="L86" i="21"/>
  <c r="N86" i="21" s="1"/>
  <c r="B86" i="21"/>
  <c r="X85" i="21"/>
  <c r="Z85" i="21" s="1"/>
  <c r="N85" i="21"/>
  <c r="L85" i="21"/>
  <c r="B85" i="21"/>
  <c r="Z84" i="21"/>
  <c r="X84" i="21"/>
  <c r="N84" i="21"/>
  <c r="L84" i="21"/>
  <c r="B84" i="21"/>
  <c r="Z83" i="21"/>
  <c r="X83" i="21"/>
  <c r="V83" i="21"/>
  <c r="N83" i="21"/>
  <c r="L83" i="21"/>
  <c r="B83" i="21"/>
  <c r="Z82" i="21"/>
  <c r="X82" i="21"/>
  <c r="N82" i="21"/>
  <c r="L82" i="21"/>
  <c r="B82" i="21"/>
  <c r="Z81" i="21"/>
  <c r="X81" i="21"/>
  <c r="L81" i="21"/>
  <c r="N81" i="21" s="1"/>
  <c r="B81" i="21"/>
  <c r="X80" i="21"/>
  <c r="T80" i="21"/>
  <c r="Z80" i="21" s="1"/>
  <c r="P80" i="21"/>
  <c r="L80" i="21"/>
  <c r="H80" i="21"/>
  <c r="N80" i="21" s="1"/>
  <c r="D80" i="21"/>
  <c r="B80" i="21"/>
  <c r="Z79" i="21"/>
  <c r="X79" i="21"/>
  <c r="V79" i="21"/>
  <c r="N79" i="21"/>
  <c r="L79" i="21"/>
  <c r="B79" i="21"/>
  <c r="Z78" i="21"/>
  <c r="X78" i="21"/>
  <c r="N78" i="21"/>
  <c r="L78" i="21"/>
  <c r="B78" i="21"/>
  <c r="Z77" i="21"/>
  <c r="X77" i="21"/>
  <c r="L77" i="21"/>
  <c r="N77" i="21" s="1"/>
  <c r="B77" i="21"/>
  <c r="X76" i="21"/>
  <c r="T76" i="21"/>
  <c r="Z76" i="21" s="1"/>
  <c r="P76" i="21"/>
  <c r="L76" i="21"/>
  <c r="H76" i="21"/>
  <c r="D76" i="21"/>
  <c r="B76" i="21"/>
  <c r="Z75" i="21"/>
  <c r="X75" i="21"/>
  <c r="V75" i="21"/>
  <c r="N75" i="21"/>
  <c r="L75" i="21"/>
  <c r="B75" i="21"/>
  <c r="Z74" i="21"/>
  <c r="X74" i="21"/>
  <c r="N74" i="21"/>
  <c r="L74" i="21"/>
  <c r="B74" i="21"/>
  <c r="Z73" i="21"/>
  <c r="T73" i="21"/>
  <c r="P73" i="21"/>
  <c r="X73" i="21" s="1"/>
  <c r="J73" i="21"/>
  <c r="H73" i="21"/>
  <c r="L73" i="21" s="1"/>
  <c r="N73" i="21" s="1"/>
  <c r="D73" i="21"/>
  <c r="B73" i="21"/>
  <c r="Z72" i="21"/>
  <c r="X72" i="21"/>
  <c r="L72" i="21"/>
  <c r="N72" i="21" s="1"/>
  <c r="B72" i="21"/>
  <c r="Z71" i="21"/>
  <c r="X71" i="21"/>
  <c r="V71" i="21"/>
  <c r="N71" i="21"/>
  <c r="L71" i="21"/>
  <c r="B71" i="21"/>
  <c r="X70" i="21"/>
  <c r="Z70" i="21" s="1"/>
  <c r="N70" i="21"/>
  <c r="L70" i="21"/>
  <c r="B70" i="21"/>
  <c r="Z69" i="21"/>
  <c r="T69" i="21"/>
  <c r="P69" i="21"/>
  <c r="X69" i="21" s="1"/>
  <c r="J69" i="21"/>
  <c r="H69" i="21"/>
  <c r="L69" i="21" s="1"/>
  <c r="N69" i="21" s="1"/>
  <c r="D69" i="21"/>
  <c r="B69" i="21"/>
  <c r="Z68" i="21"/>
  <c r="X68" i="21"/>
  <c r="L68" i="21"/>
  <c r="N68" i="21" s="1"/>
  <c r="B68" i="21"/>
  <c r="V67" i="21"/>
  <c r="T67" i="21"/>
  <c r="X67" i="21" s="1"/>
  <c r="Z67" i="21" s="1"/>
  <c r="P67" i="21"/>
  <c r="L67" i="21"/>
  <c r="N67" i="21" s="1"/>
  <c r="H67" i="21"/>
  <c r="D67" i="21"/>
  <c r="B67" i="21"/>
  <c r="X66" i="21"/>
  <c r="Z66" i="21" s="1"/>
  <c r="V66" i="21"/>
  <c r="L66" i="21"/>
  <c r="N66" i="21" s="1"/>
  <c r="B66" i="21"/>
  <c r="X65" i="21"/>
  <c r="Z65" i="21" s="1"/>
  <c r="T65" i="21"/>
  <c r="P65" i="21"/>
  <c r="H65" i="21"/>
  <c r="N65" i="21" s="1"/>
  <c r="D65" i="21"/>
  <c r="L65" i="21" s="1"/>
  <c r="B65" i="21"/>
  <c r="X64" i="21"/>
  <c r="Z64" i="21" s="1"/>
  <c r="N64" i="21"/>
  <c r="L64" i="21"/>
  <c r="B64" i="21"/>
  <c r="T63" i="21"/>
  <c r="Z63" i="21" s="1"/>
  <c r="P63" i="21"/>
  <c r="X63" i="21" s="1"/>
  <c r="N63" i="21"/>
  <c r="H63" i="21"/>
  <c r="D63" i="21"/>
  <c r="L63" i="21" s="1"/>
  <c r="B63" i="21"/>
  <c r="X62" i="21"/>
  <c r="Z62" i="21" s="1"/>
  <c r="L62" i="21"/>
  <c r="N62" i="21" s="1"/>
  <c r="B62" i="21"/>
  <c r="T61" i="21"/>
  <c r="P61" i="21"/>
  <c r="X61" i="21" s="1"/>
  <c r="Z61" i="21" s="1"/>
  <c r="J61" i="21"/>
  <c r="H61" i="21"/>
  <c r="D61" i="21"/>
  <c r="L61" i="21" s="1"/>
  <c r="N61" i="21" s="1"/>
  <c r="B61" i="21"/>
  <c r="Z60" i="21"/>
  <c r="X60" i="21"/>
  <c r="N60" i="21"/>
  <c r="L60" i="21"/>
  <c r="B60" i="21"/>
  <c r="V59" i="21"/>
  <c r="T59" i="21"/>
  <c r="P59" i="21"/>
  <c r="X59" i="21" s="1"/>
  <c r="Z59" i="21" s="1"/>
  <c r="N59" i="21"/>
  <c r="L59" i="21"/>
  <c r="H59" i="21"/>
  <c r="D59" i="21"/>
  <c r="B59" i="21"/>
  <c r="X58" i="21"/>
  <c r="Z58" i="21" s="1"/>
  <c r="V58" i="21"/>
  <c r="L58" i="21"/>
  <c r="N58" i="21" s="1"/>
  <c r="B58" i="21"/>
  <c r="Z57" i="21"/>
  <c r="X57" i="21"/>
  <c r="N57" i="21"/>
  <c r="L57" i="21"/>
  <c r="B57" i="21"/>
  <c r="T56" i="21"/>
  <c r="P56" i="21"/>
  <c r="H56" i="21"/>
  <c r="N56" i="21" s="1"/>
  <c r="D56" i="21"/>
  <c r="L56" i="21" s="1"/>
  <c r="B56" i="21"/>
  <c r="Z55" i="21"/>
  <c r="X55" i="21"/>
  <c r="N55" i="21"/>
  <c r="L55" i="21"/>
  <c r="J55" i="21"/>
  <c r="B55" i="21"/>
  <c r="V54" i="21"/>
  <c r="T54" i="21"/>
  <c r="Z54" i="21" s="1"/>
  <c r="P54" i="21"/>
  <c r="X54" i="21" s="1"/>
  <c r="L54" i="21"/>
  <c r="H54" i="21"/>
  <c r="N54" i="21" s="1"/>
  <c r="D54" i="21"/>
  <c r="B54" i="21"/>
  <c r="Z53" i="21"/>
  <c r="X53" i="21"/>
  <c r="V53" i="21"/>
  <c r="N53" i="21"/>
  <c r="L53" i="21"/>
  <c r="B53" i="21"/>
  <c r="X52" i="21"/>
  <c r="T52" i="21"/>
  <c r="Z52" i="21" s="1"/>
  <c r="P52" i="21"/>
  <c r="L52" i="21"/>
  <c r="H52" i="21"/>
  <c r="N52" i="21" s="1"/>
  <c r="D52" i="21"/>
  <c r="B52" i="21"/>
  <c r="Z51" i="21"/>
  <c r="X51" i="21"/>
  <c r="V51" i="21"/>
  <c r="N51" i="21"/>
  <c r="L51" i="21"/>
  <c r="B51" i="21"/>
  <c r="X50" i="21"/>
  <c r="T50" i="21"/>
  <c r="Z50" i="21" s="1"/>
  <c r="P50" i="21"/>
  <c r="H50" i="21"/>
  <c r="N50" i="21" s="1"/>
  <c r="D50" i="21"/>
  <c r="B50" i="21"/>
  <c r="Z49" i="21"/>
  <c r="X49" i="21"/>
  <c r="N49" i="21"/>
  <c r="L49" i="21"/>
  <c r="B49" i="21"/>
  <c r="Z48" i="21"/>
  <c r="X48" i="21"/>
  <c r="N48" i="21"/>
  <c r="L48" i="21"/>
  <c r="B48" i="21"/>
  <c r="Z47" i="21"/>
  <c r="X47" i="21"/>
  <c r="V47" i="21"/>
  <c r="N47" i="21"/>
  <c r="L47" i="21"/>
  <c r="B47" i="21"/>
  <c r="Z46" i="21"/>
  <c r="X46" i="21"/>
  <c r="N46" i="21"/>
  <c r="L46" i="21"/>
  <c r="B46" i="21"/>
  <c r="Z45" i="21"/>
  <c r="X45" i="21"/>
  <c r="V45" i="21"/>
  <c r="N45" i="21"/>
  <c r="L45" i="21"/>
  <c r="B45" i="21"/>
  <c r="Z44" i="21"/>
  <c r="X44" i="21"/>
  <c r="N44" i="21"/>
  <c r="L44" i="21"/>
  <c r="B44" i="21"/>
  <c r="Z43" i="21"/>
  <c r="X43" i="21"/>
  <c r="N43" i="21"/>
  <c r="L43" i="21"/>
  <c r="J43" i="21"/>
  <c r="B43" i="21"/>
  <c r="Z42" i="21"/>
  <c r="X42" i="21"/>
  <c r="V42" i="21"/>
  <c r="N42" i="21"/>
  <c r="L42" i="21"/>
  <c r="B42" i="21"/>
  <c r="X41" i="21"/>
  <c r="Z41" i="21" s="1"/>
  <c r="V41" i="21"/>
  <c r="N41" i="21"/>
  <c r="L41" i="21"/>
  <c r="B41" i="21"/>
  <c r="Z40" i="21"/>
  <c r="X40" i="21"/>
  <c r="N40" i="21"/>
  <c r="L40" i="21"/>
  <c r="B40" i="21"/>
  <c r="V39" i="21"/>
  <c r="T39" i="21"/>
  <c r="P39" i="21"/>
  <c r="X39" i="21" s="1"/>
  <c r="Z39" i="21" s="1"/>
  <c r="L39" i="21"/>
  <c r="N39" i="21" s="1"/>
  <c r="H39" i="21"/>
  <c r="D39" i="21"/>
  <c r="B39" i="21"/>
  <c r="Z38" i="21"/>
  <c r="X38" i="21"/>
  <c r="V38" i="21"/>
  <c r="N38" i="21"/>
  <c r="L38" i="21"/>
  <c r="B38" i="21"/>
  <c r="X37" i="21"/>
  <c r="Z37" i="21" s="1"/>
  <c r="V37" i="21"/>
  <c r="N37" i="21"/>
  <c r="L37" i="21"/>
  <c r="B37" i="21"/>
  <c r="Z36" i="21"/>
  <c r="X36" i="21"/>
  <c r="L36" i="21"/>
  <c r="N36" i="21" s="1"/>
  <c r="B36" i="21"/>
  <c r="Z35" i="21"/>
  <c r="X35" i="21"/>
  <c r="V35" i="21"/>
  <c r="N35" i="21"/>
  <c r="L35" i="21"/>
  <c r="B35" i="21"/>
  <c r="Z34" i="21"/>
  <c r="X34" i="21"/>
  <c r="N34" i="21"/>
  <c r="L34" i="21"/>
  <c r="B34" i="21"/>
  <c r="Z33" i="21"/>
  <c r="X33" i="21"/>
  <c r="V33" i="21"/>
  <c r="L33" i="21"/>
  <c r="N33" i="21" s="1"/>
  <c r="B33" i="21"/>
  <c r="X32" i="21"/>
  <c r="Z32" i="21" s="1"/>
  <c r="N32" i="21"/>
  <c r="L32" i="21"/>
  <c r="B32" i="21"/>
  <c r="Z31" i="21"/>
  <c r="X31" i="21"/>
  <c r="N31" i="21"/>
  <c r="L31" i="21"/>
  <c r="J31" i="21"/>
  <c r="B31" i="21"/>
  <c r="X30" i="21"/>
  <c r="Z30" i="21" s="1"/>
  <c r="V30" i="21"/>
  <c r="L30" i="21"/>
  <c r="N30" i="21" s="1"/>
  <c r="B30" i="21"/>
  <c r="X29" i="21"/>
  <c r="Z29" i="21" s="1"/>
  <c r="V29" i="21"/>
  <c r="N29" i="21"/>
  <c r="L29" i="21"/>
  <c r="B29" i="21"/>
  <c r="T28" i="21"/>
  <c r="P28" i="21"/>
  <c r="H28" i="21"/>
  <c r="N28" i="21" s="1"/>
  <c r="D28" i="21"/>
  <c r="L28" i="21" s="1"/>
  <c r="B28" i="21"/>
  <c r="T27" i="21" a="1"/>
  <c r="T27" i="21" s="1"/>
  <c r="P27" i="21" a="1"/>
  <c r="P27" i="21" s="1"/>
  <c r="H27" i="21" a="1"/>
  <c r="H27" i="21" s="1"/>
  <c r="D27" i="21" a="1"/>
  <c r="D27" i="21" s="1"/>
  <c r="T25" i="21"/>
  <c r="Z23" i="21"/>
  <c r="X23" i="21"/>
  <c r="V23" i="21"/>
  <c r="N23" i="21"/>
  <c r="L23" i="21"/>
  <c r="B23" i="21"/>
  <c r="Z22" i="21"/>
  <c r="X22" i="21"/>
  <c r="N22" i="21"/>
  <c r="L22" i="21"/>
  <c r="B22" i="21"/>
  <c r="Z21" i="21"/>
  <c r="X21" i="21"/>
  <c r="V21" i="21"/>
  <c r="L21" i="21"/>
  <c r="N21" i="21" s="1"/>
  <c r="B21" i="21"/>
  <c r="X20" i="21"/>
  <c r="T20" i="21"/>
  <c r="Z20" i="21" s="1"/>
  <c r="P20" i="21"/>
  <c r="L20" i="21"/>
  <c r="H20" i="21"/>
  <c r="N20" i="21" s="1"/>
  <c r="D20" i="21"/>
  <c r="Z18" i="21"/>
  <c r="X18" i="21"/>
  <c r="P18" i="21"/>
  <c r="N18" i="21"/>
  <c r="D18" i="21"/>
  <c r="L18" i="21" s="1"/>
  <c r="B18" i="21"/>
  <c r="Z17" i="21"/>
  <c r="X17" i="21"/>
  <c r="P17" i="21"/>
  <c r="N17" i="21"/>
  <c r="L17" i="21"/>
  <c r="D17" i="21"/>
  <c r="B17" i="21"/>
  <c r="P16" i="21"/>
  <c r="P12" i="21" s="1"/>
  <c r="R88" i="21" s="1"/>
  <c r="D16" i="21"/>
  <c r="L16" i="21" s="1"/>
  <c r="N16" i="21" s="1"/>
  <c r="B16" i="21"/>
  <c r="Z15" i="21"/>
  <c r="P15" i="21"/>
  <c r="X15" i="21" s="1"/>
  <c r="N15" i="21"/>
  <c r="L15" i="21"/>
  <c r="D15" i="21"/>
  <c r="B15" i="21"/>
  <c r="Z14" i="21"/>
  <c r="X14" i="21"/>
  <c r="P14" i="21"/>
  <c r="N14" i="21"/>
  <c r="L14" i="21"/>
  <c r="D14" i="21"/>
  <c r="B14" i="21"/>
  <c r="P13" i="21"/>
  <c r="X13" i="21" s="1"/>
  <c r="Z13" i="21" s="1"/>
  <c r="D13" i="21"/>
  <c r="L13" i="21" s="1"/>
  <c r="N13" i="21" s="1"/>
  <c r="B13" i="21"/>
  <c r="T12" i="21"/>
  <c r="V90" i="21" s="1"/>
  <c r="H12" i="21"/>
  <c r="J92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4" i="20" s="1"/>
  <c r="P12" i="20"/>
  <c r="R20" i="20" s="1"/>
  <c r="H12" i="20"/>
  <c r="D12" i="20"/>
  <c r="F24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34" i="19" s="1"/>
  <c r="P12" i="19"/>
  <c r="R34" i="19" s="1"/>
  <c r="H12" i="19"/>
  <c r="J21" i="19" s="1"/>
  <c r="D12" i="19"/>
  <c r="F34" i="19" s="1"/>
  <c r="D5" i="19"/>
  <c r="D4" i="19"/>
  <c r="Z161" i="18"/>
  <c r="X161" i="18"/>
  <c r="N161" i="18"/>
  <c r="L161" i="18"/>
  <c r="Z157" i="18"/>
  <c r="P157" i="18"/>
  <c r="X157" i="18" s="1"/>
  <c r="N157" i="18"/>
  <c r="L157" i="18"/>
  <c r="D157" i="18"/>
  <c r="B157" i="18"/>
  <c r="P156" i="18"/>
  <c r="X156" i="18" s="1"/>
  <c r="Z156" i="18" s="1"/>
  <c r="N156" i="18"/>
  <c r="D156" i="18"/>
  <c r="L156" i="18" s="1"/>
  <c r="B156" i="18"/>
  <c r="Z155" i="18"/>
  <c r="X155" i="18"/>
  <c r="P155" i="18"/>
  <c r="N155" i="18"/>
  <c r="D155" i="18"/>
  <c r="L155" i="18" s="1"/>
  <c r="B155" i="18"/>
  <c r="X154" i="18"/>
  <c r="Z154" i="18" s="1"/>
  <c r="P154" i="18"/>
  <c r="N154" i="18"/>
  <c r="L154" i="18"/>
  <c r="D154" i="18"/>
  <c r="D150" i="18" s="1"/>
  <c r="L150" i="18" s="1"/>
  <c r="N150" i="18" s="1"/>
  <c r="B154" i="18"/>
  <c r="P153" i="18"/>
  <c r="X153" i="18" s="1"/>
  <c r="Z153" i="18" s="1"/>
  <c r="L153" i="18"/>
  <c r="N153" i="18" s="1"/>
  <c r="D153" i="18"/>
  <c r="B153" i="18"/>
  <c r="Z152" i="18"/>
  <c r="X152" i="18"/>
  <c r="P152" i="18"/>
  <c r="N152" i="18"/>
  <c r="D152" i="18"/>
  <c r="L152" i="18" s="1"/>
  <c r="B152" i="18"/>
  <c r="Z151" i="18"/>
  <c r="X151" i="18"/>
  <c r="P151" i="18"/>
  <c r="N151" i="18"/>
  <c r="L151" i="18"/>
  <c r="D151" i="18"/>
  <c r="B151" i="18"/>
  <c r="T150" i="18"/>
  <c r="P150" i="18"/>
  <c r="X150" i="18" s="1"/>
  <c r="H150" i="18"/>
  <c r="X148" i="18"/>
  <c r="Z148" i="18" s="1"/>
  <c r="L148" i="18"/>
  <c r="N148" i="18" s="1"/>
  <c r="B148" i="18"/>
  <c r="T147" i="18"/>
  <c r="P147" i="18"/>
  <c r="X147" i="18" s="1"/>
  <c r="Z147" i="18" s="1"/>
  <c r="H147" i="18"/>
  <c r="D147" i="18"/>
  <c r="L147" i="18" s="1"/>
  <c r="N147" i="18" s="1"/>
  <c r="B147" i="18"/>
  <c r="Z146" i="18"/>
  <c r="X146" i="18"/>
  <c r="L146" i="18"/>
  <c r="N146" i="18" s="1"/>
  <c r="B146" i="18"/>
  <c r="Z145" i="18"/>
  <c r="X145" i="18"/>
  <c r="N145" i="18"/>
  <c r="L145" i="18"/>
  <c r="B145" i="18"/>
  <c r="X144" i="18"/>
  <c r="Z144" i="18" s="1"/>
  <c r="L144" i="18"/>
  <c r="N144" i="18" s="1"/>
  <c r="B144" i="18"/>
  <c r="Z143" i="18"/>
  <c r="T143" i="18"/>
  <c r="P143" i="18"/>
  <c r="X143" i="18" s="1"/>
  <c r="H143" i="18"/>
  <c r="D143" i="18"/>
  <c r="L143" i="18" s="1"/>
  <c r="N143" i="18" s="1"/>
  <c r="B143" i="18"/>
  <c r="Z142" i="18"/>
  <c r="X142" i="18"/>
  <c r="N142" i="18"/>
  <c r="L142" i="18"/>
  <c r="B142" i="18"/>
  <c r="T141" i="18"/>
  <c r="P141" i="18"/>
  <c r="X141" i="18" s="1"/>
  <c r="Z141" i="18" s="1"/>
  <c r="N141" i="18"/>
  <c r="L141" i="18"/>
  <c r="H141" i="18"/>
  <c r="D141" i="18"/>
  <c r="B141" i="18"/>
  <c r="X140" i="18"/>
  <c r="Z140" i="18" s="1"/>
  <c r="L140" i="18"/>
  <c r="N140" i="18" s="1"/>
  <c r="B140" i="18"/>
  <c r="Z139" i="18"/>
  <c r="X139" i="18"/>
  <c r="N139" i="18"/>
  <c r="L139" i="18"/>
  <c r="B139" i="18"/>
  <c r="T138" i="18"/>
  <c r="P138" i="18"/>
  <c r="H138" i="18"/>
  <c r="D138" i="18"/>
  <c r="L138" i="18" s="1"/>
  <c r="B138" i="18"/>
  <c r="Z137" i="18"/>
  <c r="X137" i="18"/>
  <c r="N137" i="18"/>
  <c r="L137" i="18"/>
  <c r="B137" i="18"/>
  <c r="X136" i="18"/>
  <c r="Z136" i="18" s="1"/>
  <c r="L136" i="18"/>
  <c r="N136" i="18" s="1"/>
  <c r="B136" i="18"/>
  <c r="X135" i="18"/>
  <c r="Z135" i="18" s="1"/>
  <c r="N135" i="18"/>
  <c r="L135" i="18"/>
  <c r="B135" i="18"/>
  <c r="Z134" i="18"/>
  <c r="X134" i="18"/>
  <c r="L134" i="18"/>
  <c r="N134" i="18" s="1"/>
  <c r="B134" i="18"/>
  <c r="Z133" i="18"/>
  <c r="X133" i="18"/>
  <c r="N133" i="18"/>
  <c r="L133" i="18"/>
  <c r="B133" i="18"/>
  <c r="X132" i="18"/>
  <c r="Z132" i="18" s="1"/>
  <c r="L132" i="18"/>
  <c r="N132" i="18" s="1"/>
  <c r="B132" i="18"/>
  <c r="Z131" i="18"/>
  <c r="X131" i="18"/>
  <c r="L131" i="18"/>
  <c r="N131" i="18" s="1"/>
  <c r="B131" i="18"/>
  <c r="T130" i="18"/>
  <c r="P130" i="18"/>
  <c r="X130" i="18" s="1"/>
  <c r="Z130" i="18" s="1"/>
  <c r="H130" i="18"/>
  <c r="D130" i="18"/>
  <c r="B130" i="18"/>
  <c r="Z129" i="18"/>
  <c r="X129" i="18"/>
  <c r="N129" i="18"/>
  <c r="L129" i="18"/>
  <c r="B129" i="18"/>
  <c r="X128" i="18"/>
  <c r="Z128" i="18" s="1"/>
  <c r="L128" i="18"/>
  <c r="N128" i="18" s="1"/>
  <c r="B128" i="18"/>
  <c r="Z127" i="18"/>
  <c r="T127" i="18"/>
  <c r="P127" i="18"/>
  <c r="X127" i="18" s="1"/>
  <c r="N127" i="18"/>
  <c r="H127" i="18"/>
  <c r="D127" i="18"/>
  <c r="L127" i="18" s="1"/>
  <c r="B127" i="18"/>
  <c r="Z126" i="18"/>
  <c r="X126" i="18"/>
  <c r="N126" i="18"/>
  <c r="L126" i="18"/>
  <c r="B126" i="18"/>
  <c r="Z125" i="18"/>
  <c r="X125" i="18"/>
  <c r="N125" i="18"/>
  <c r="L125" i="18"/>
  <c r="B125" i="18"/>
  <c r="X124" i="18"/>
  <c r="Z124" i="18" s="1"/>
  <c r="L124" i="18"/>
  <c r="N124" i="18" s="1"/>
  <c r="B124" i="18"/>
  <c r="Z123" i="18"/>
  <c r="T123" i="18"/>
  <c r="P123" i="18"/>
  <c r="X123" i="18" s="1"/>
  <c r="H123" i="18"/>
  <c r="D123" i="18"/>
  <c r="L123" i="18" s="1"/>
  <c r="N123" i="18" s="1"/>
  <c r="B123" i="18"/>
  <c r="X122" i="18"/>
  <c r="Z122" i="18" s="1"/>
  <c r="L122" i="18"/>
  <c r="N122" i="18" s="1"/>
  <c r="B122" i="18"/>
  <c r="Z121" i="18"/>
  <c r="X121" i="18"/>
  <c r="N121" i="18"/>
  <c r="L121" i="18"/>
  <c r="B121" i="18"/>
  <c r="X120" i="18"/>
  <c r="Z120" i="18" s="1"/>
  <c r="L120" i="18"/>
  <c r="N120" i="18" s="1"/>
  <c r="B120" i="18"/>
  <c r="Z119" i="18"/>
  <c r="X119" i="18"/>
  <c r="L119" i="18"/>
  <c r="N119" i="18" s="1"/>
  <c r="B119" i="18"/>
  <c r="T118" i="18"/>
  <c r="P118" i="18"/>
  <c r="X118" i="18" s="1"/>
  <c r="H118" i="18"/>
  <c r="D118" i="18"/>
  <c r="B118" i="18"/>
  <c r="Z117" i="18"/>
  <c r="X117" i="18"/>
  <c r="N117" i="18"/>
  <c r="L117" i="18"/>
  <c r="B117" i="18"/>
  <c r="X116" i="18"/>
  <c r="Z116" i="18" s="1"/>
  <c r="L116" i="18"/>
  <c r="N116" i="18" s="1"/>
  <c r="B116" i="18"/>
  <c r="Z115" i="18"/>
  <c r="X115" i="18"/>
  <c r="L115" i="18"/>
  <c r="N115" i="18" s="1"/>
  <c r="B115" i="18"/>
  <c r="X114" i="18"/>
  <c r="Z114" i="18" s="1"/>
  <c r="L114" i="18"/>
  <c r="N114" i="18" s="1"/>
  <c r="B114" i="18"/>
  <c r="T113" i="18"/>
  <c r="Z113" i="18" s="1"/>
  <c r="P113" i="18"/>
  <c r="X113" i="18" s="1"/>
  <c r="H113" i="18"/>
  <c r="D113" i="18"/>
  <c r="L113" i="18" s="1"/>
  <c r="N113" i="18" s="1"/>
  <c r="B113" i="18"/>
  <c r="X112" i="18"/>
  <c r="Z112" i="18" s="1"/>
  <c r="L112" i="18"/>
  <c r="N112" i="18" s="1"/>
  <c r="B112" i="18"/>
  <c r="Z111" i="18"/>
  <c r="T111" i="18"/>
  <c r="P111" i="18"/>
  <c r="X111" i="18" s="1"/>
  <c r="H111" i="18"/>
  <c r="D111" i="18"/>
  <c r="L111" i="18" s="1"/>
  <c r="N111" i="18" s="1"/>
  <c r="B111" i="18"/>
  <c r="Z110" i="18"/>
  <c r="X110" i="18"/>
  <c r="L110" i="18"/>
  <c r="N110" i="18" s="1"/>
  <c r="B110" i="18"/>
  <c r="Z109" i="18"/>
  <c r="T109" i="18"/>
  <c r="P109" i="18"/>
  <c r="X109" i="18" s="1"/>
  <c r="L109" i="18"/>
  <c r="N109" i="18" s="1"/>
  <c r="H109" i="18"/>
  <c r="D109" i="18"/>
  <c r="B109" i="18"/>
  <c r="X108" i="18"/>
  <c r="Z108" i="18" s="1"/>
  <c r="L108" i="18"/>
  <c r="N108" i="18" s="1"/>
  <c r="B108" i="18"/>
  <c r="T107" i="18"/>
  <c r="P107" i="18"/>
  <c r="X107" i="18" s="1"/>
  <c r="Z107" i="18" s="1"/>
  <c r="N107" i="18"/>
  <c r="H107" i="18"/>
  <c r="L107" i="18" s="1"/>
  <c r="D107" i="18"/>
  <c r="B107" i="18"/>
  <c r="X106" i="18"/>
  <c r="Z106" i="18" s="1"/>
  <c r="N106" i="18"/>
  <c r="L106" i="18"/>
  <c r="B106" i="18"/>
  <c r="T105" i="18"/>
  <c r="X105" i="18" s="1"/>
  <c r="P105" i="18"/>
  <c r="H105" i="18"/>
  <c r="D105" i="18"/>
  <c r="L105" i="18" s="1"/>
  <c r="N105" i="18" s="1"/>
  <c r="B105" i="18"/>
  <c r="X104" i="18"/>
  <c r="Z104" i="18" s="1"/>
  <c r="L104" i="18"/>
  <c r="N104" i="18" s="1"/>
  <c r="B104" i="18"/>
  <c r="X103" i="18"/>
  <c r="Z103" i="18" s="1"/>
  <c r="N103" i="18"/>
  <c r="L103" i="18"/>
  <c r="B103" i="18"/>
  <c r="T102" i="18"/>
  <c r="P102" i="18"/>
  <c r="H102" i="18"/>
  <c r="D102" i="18"/>
  <c r="L102" i="18" s="1"/>
  <c r="B102" i="18"/>
  <c r="Z101" i="18"/>
  <c r="X101" i="18"/>
  <c r="N101" i="18"/>
  <c r="L101" i="18"/>
  <c r="B101" i="18"/>
  <c r="X100" i="18"/>
  <c r="Z100" i="18" s="1"/>
  <c r="L100" i="18"/>
  <c r="N100" i="18" s="1"/>
  <c r="B100" i="18"/>
  <c r="T99" i="18"/>
  <c r="P99" i="18"/>
  <c r="X99" i="18" s="1"/>
  <c r="Z99" i="18" s="1"/>
  <c r="H99" i="18"/>
  <c r="D99" i="18"/>
  <c r="B99" i="18"/>
  <c r="Z98" i="18"/>
  <c r="X98" i="18"/>
  <c r="L98" i="18"/>
  <c r="N98" i="18" s="1"/>
  <c r="B98" i="18"/>
  <c r="T97" i="18"/>
  <c r="Z97" i="18" s="1"/>
  <c r="P97" i="18"/>
  <c r="X97" i="18" s="1"/>
  <c r="H97" i="18"/>
  <c r="N97" i="18" s="1"/>
  <c r="D97" i="18"/>
  <c r="L97" i="18" s="1"/>
  <c r="B97" i="18"/>
  <c r="Z96" i="18"/>
  <c r="X96" i="18"/>
  <c r="N96" i="18"/>
  <c r="L96" i="18"/>
  <c r="B96" i="18"/>
  <c r="T95" i="18"/>
  <c r="Z95" i="18" s="1"/>
  <c r="P95" i="18"/>
  <c r="X95" i="18" s="1"/>
  <c r="L95" i="18"/>
  <c r="N95" i="18" s="1"/>
  <c r="H95" i="18"/>
  <c r="D95" i="18"/>
  <c r="B95" i="18"/>
  <c r="X94" i="18"/>
  <c r="Z94" i="18" s="1"/>
  <c r="N94" i="18"/>
  <c r="L94" i="18"/>
  <c r="B94" i="18"/>
  <c r="X93" i="18"/>
  <c r="Z93" i="18" s="1"/>
  <c r="T93" i="18"/>
  <c r="P93" i="18"/>
  <c r="H93" i="18"/>
  <c r="D93" i="18"/>
  <c r="B93" i="18"/>
  <c r="Z92" i="18"/>
  <c r="X92" i="18"/>
  <c r="N92" i="18"/>
  <c r="L92" i="18"/>
  <c r="B92" i="18"/>
  <c r="Z91" i="18"/>
  <c r="X91" i="18"/>
  <c r="N91" i="18"/>
  <c r="L91" i="18"/>
  <c r="B91" i="18"/>
  <c r="Z90" i="18"/>
  <c r="X90" i="18"/>
  <c r="T90" i="18"/>
  <c r="P90" i="18"/>
  <c r="H90" i="18"/>
  <c r="N90" i="18" s="1"/>
  <c r="D90" i="18"/>
  <c r="B90" i="18"/>
  <c r="X89" i="18"/>
  <c r="Z89" i="18" s="1"/>
  <c r="L89" i="18"/>
  <c r="N89" i="18" s="1"/>
  <c r="B89" i="18"/>
  <c r="Z88" i="18"/>
  <c r="X88" i="18"/>
  <c r="N88" i="18"/>
  <c r="L88" i="18"/>
  <c r="B88" i="18"/>
  <c r="T87" i="18"/>
  <c r="P87" i="18"/>
  <c r="H87" i="18"/>
  <c r="N87" i="18" s="1"/>
  <c r="D87" i="18"/>
  <c r="L87" i="18" s="1"/>
  <c r="B87" i="18"/>
  <c r="Z86" i="18"/>
  <c r="X86" i="18"/>
  <c r="N86" i="18"/>
  <c r="L86" i="18"/>
  <c r="B86" i="18"/>
  <c r="T85" i="18"/>
  <c r="Z85" i="18" s="1"/>
  <c r="P85" i="18"/>
  <c r="X85" i="18" s="1"/>
  <c r="H85" i="18"/>
  <c r="D85" i="18"/>
  <c r="L85" i="18" s="1"/>
  <c r="B85" i="18"/>
  <c r="Z84" i="18"/>
  <c r="X84" i="18"/>
  <c r="N84" i="18"/>
  <c r="L84" i="18"/>
  <c r="B84" i="18"/>
  <c r="T83" i="18"/>
  <c r="P83" i="18"/>
  <c r="X83" i="18" s="1"/>
  <c r="L83" i="18"/>
  <c r="N83" i="18" s="1"/>
  <c r="H83" i="18"/>
  <c r="D83" i="18"/>
  <c r="B83" i="18"/>
  <c r="X82" i="18"/>
  <c r="Z82" i="18" s="1"/>
  <c r="N82" i="18"/>
  <c r="L82" i="18"/>
  <c r="B82" i="18"/>
  <c r="X81" i="18"/>
  <c r="Z81" i="18" s="1"/>
  <c r="T81" i="18"/>
  <c r="P81" i="18"/>
  <c r="H81" i="18"/>
  <c r="D81" i="18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N78" i="18"/>
  <c r="L78" i="18"/>
  <c r="B78" i="18"/>
  <c r="X77" i="18"/>
  <c r="Z77" i="18" s="1"/>
  <c r="L77" i="18"/>
  <c r="N77" i="18" s="1"/>
  <c r="B77" i="18"/>
  <c r="Z76" i="18"/>
  <c r="X76" i="18"/>
  <c r="N76" i="18"/>
  <c r="L76" i="18"/>
  <c r="B76" i="18"/>
  <c r="X75" i="18"/>
  <c r="Z75" i="18" s="1"/>
  <c r="L75" i="18"/>
  <c r="N75" i="18" s="1"/>
  <c r="B75" i="18"/>
  <c r="Z74" i="18"/>
  <c r="X74" i="18"/>
  <c r="N74" i="18"/>
  <c r="L74" i="18"/>
  <c r="B74" i="18"/>
  <c r="Z73" i="18"/>
  <c r="X73" i="18"/>
  <c r="N73" i="18"/>
  <c r="L73" i="18"/>
  <c r="B73" i="18"/>
  <c r="Z72" i="18"/>
  <c r="X72" i="18"/>
  <c r="N72" i="18"/>
  <c r="L72" i="18"/>
  <c r="B72" i="18"/>
  <c r="X71" i="18"/>
  <c r="Z71" i="18" s="1"/>
  <c r="L71" i="18"/>
  <c r="N71" i="18" s="1"/>
  <c r="B71" i="18"/>
  <c r="Z70" i="18"/>
  <c r="X70" i="18"/>
  <c r="T70" i="18"/>
  <c r="P70" i="18"/>
  <c r="H70" i="18"/>
  <c r="D70" i="18"/>
  <c r="B70" i="18"/>
  <c r="X69" i="18"/>
  <c r="Z69" i="18" s="1"/>
  <c r="L69" i="18"/>
  <c r="N69" i="18" s="1"/>
  <c r="B69" i="18"/>
  <c r="Z68" i="18"/>
  <c r="X68" i="18"/>
  <c r="N68" i="18"/>
  <c r="L68" i="18"/>
  <c r="B68" i="18"/>
  <c r="X67" i="18"/>
  <c r="Z67" i="18" s="1"/>
  <c r="L67" i="18"/>
  <c r="N67" i="18" s="1"/>
  <c r="B67" i="18"/>
  <c r="Z66" i="18"/>
  <c r="X66" i="18"/>
  <c r="N66" i="18"/>
  <c r="L66" i="18"/>
  <c r="B66" i="18"/>
  <c r="Z65" i="18"/>
  <c r="X65" i="18"/>
  <c r="N65" i="18"/>
  <c r="L65" i="18"/>
  <c r="B65" i="18"/>
  <c r="Z64" i="18"/>
  <c r="X64" i="18"/>
  <c r="N64" i="18"/>
  <c r="L64" i="18"/>
  <c r="B64" i="18"/>
  <c r="X63" i="18"/>
  <c r="Z63" i="18" s="1"/>
  <c r="L63" i="18"/>
  <c r="N63" i="18" s="1"/>
  <c r="B63" i="18"/>
  <c r="Z62" i="18"/>
  <c r="X62" i="18"/>
  <c r="L62" i="18"/>
  <c r="N62" i="18" s="1"/>
  <c r="B62" i="18"/>
  <c r="X61" i="18"/>
  <c r="Z61" i="18" s="1"/>
  <c r="L61" i="18"/>
  <c r="N61" i="18" s="1"/>
  <c r="B61" i="18"/>
  <c r="Z60" i="18"/>
  <c r="X60" i="18"/>
  <c r="N60" i="18"/>
  <c r="L60" i="18"/>
  <c r="B60" i="18"/>
  <c r="T59" i="18"/>
  <c r="P59" i="18"/>
  <c r="H59" i="18"/>
  <c r="N59" i="18" s="1"/>
  <c r="D59" i="18"/>
  <c r="L59" i="18" s="1"/>
  <c r="B59" i="18"/>
  <c r="T58" i="18" a="1"/>
  <c r="T58" i="18" s="1"/>
  <c r="P58" i="18" a="1"/>
  <c r="P58" i="18" s="1"/>
  <c r="H58" i="18" a="1"/>
  <c r="H58" i="18" s="1"/>
  <c r="D58" i="18" a="1"/>
  <c r="D58" i="18" s="1"/>
  <c r="Z54" i="18"/>
  <c r="X54" i="18"/>
  <c r="V54" i="18"/>
  <c r="N54" i="18"/>
  <c r="L54" i="18"/>
  <c r="B54" i="18"/>
  <c r="Z53" i="18"/>
  <c r="X53" i="18"/>
  <c r="N53" i="18"/>
  <c r="L53" i="18"/>
  <c r="B53" i="18"/>
  <c r="Z52" i="18"/>
  <c r="X52" i="18"/>
  <c r="N52" i="18"/>
  <c r="L52" i="18"/>
  <c r="B52" i="18"/>
  <c r="Z51" i="18"/>
  <c r="X51" i="18"/>
  <c r="N51" i="18"/>
  <c r="L51" i="18"/>
  <c r="B51" i="18"/>
  <c r="Z50" i="18"/>
  <c r="X50" i="18"/>
  <c r="N50" i="18"/>
  <c r="L50" i="18"/>
  <c r="J50" i="18"/>
  <c r="B50" i="18"/>
  <c r="Z49" i="18"/>
  <c r="X49" i="18"/>
  <c r="N49" i="18"/>
  <c r="L49" i="18"/>
  <c r="B49" i="18"/>
  <c r="Z48" i="18"/>
  <c r="X48" i="18"/>
  <c r="N48" i="18"/>
  <c r="L48" i="18"/>
  <c r="B48" i="18"/>
  <c r="Z47" i="18"/>
  <c r="X47" i="18"/>
  <c r="N47" i="18"/>
  <c r="L47" i="18"/>
  <c r="B47" i="18"/>
  <c r="Z46" i="18"/>
  <c r="X46" i="18"/>
  <c r="V46" i="18"/>
  <c r="N46" i="18"/>
  <c r="L46" i="18"/>
  <c r="B46" i="18"/>
  <c r="Z45" i="18"/>
  <c r="X45" i="18"/>
  <c r="N45" i="18"/>
  <c r="L45" i="18"/>
  <c r="B45" i="18"/>
  <c r="Z44" i="18"/>
  <c r="X44" i="18"/>
  <c r="N44" i="18"/>
  <c r="L44" i="18"/>
  <c r="B44" i="18"/>
  <c r="Z43" i="18"/>
  <c r="X43" i="18"/>
  <c r="N43" i="18"/>
  <c r="L43" i="18"/>
  <c r="B43" i="18"/>
  <c r="Z42" i="18"/>
  <c r="X42" i="18"/>
  <c r="N42" i="18"/>
  <c r="L42" i="18"/>
  <c r="J42" i="18"/>
  <c r="B42" i="18"/>
  <c r="Z41" i="18"/>
  <c r="X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V38" i="18"/>
  <c r="N38" i="18"/>
  <c r="L38" i="18"/>
  <c r="B38" i="18"/>
  <c r="Z37" i="18"/>
  <c r="X37" i="18"/>
  <c r="N37" i="18"/>
  <c r="L37" i="18"/>
  <c r="J37" i="18"/>
  <c r="B37" i="18"/>
  <c r="Z36" i="18"/>
  <c r="X36" i="18"/>
  <c r="N36" i="18"/>
  <c r="L36" i="18"/>
  <c r="B36" i="18"/>
  <c r="Z35" i="18"/>
  <c r="X35" i="18"/>
  <c r="N35" i="18"/>
  <c r="L35" i="18"/>
  <c r="B35" i="18"/>
  <c r="Z34" i="18"/>
  <c r="X34" i="18"/>
  <c r="N34" i="18"/>
  <c r="L34" i="18"/>
  <c r="J34" i="18"/>
  <c r="B34" i="18"/>
  <c r="Z33" i="18"/>
  <c r="X33" i="18"/>
  <c r="V33" i="18"/>
  <c r="N33" i="18"/>
  <c r="L33" i="18"/>
  <c r="B33" i="18"/>
  <c r="Z32" i="18"/>
  <c r="X32" i="18"/>
  <c r="N32" i="18"/>
  <c r="L32" i="18"/>
  <c r="B32" i="18"/>
  <c r="Z31" i="18"/>
  <c r="X31" i="18"/>
  <c r="N31" i="18"/>
  <c r="L31" i="18"/>
  <c r="B31" i="18"/>
  <c r="Z30" i="18"/>
  <c r="X30" i="18"/>
  <c r="V30" i="18"/>
  <c r="N30" i="18"/>
  <c r="L30" i="18"/>
  <c r="B30" i="18"/>
  <c r="Z29" i="18"/>
  <c r="X29" i="18"/>
  <c r="N29" i="18"/>
  <c r="L29" i="18"/>
  <c r="J29" i="18"/>
  <c r="B29" i="18"/>
  <c r="Z28" i="18"/>
  <c r="X28" i="18"/>
  <c r="N28" i="18"/>
  <c r="L28" i="18"/>
  <c r="B28" i="18"/>
  <c r="Z27" i="18"/>
  <c r="X27" i="18"/>
  <c r="N27" i="18"/>
  <c r="L27" i="18"/>
  <c r="B27" i="18"/>
  <c r="Z26" i="18"/>
  <c r="X26" i="18"/>
  <c r="N26" i="18"/>
  <c r="L26" i="18"/>
  <c r="J26" i="18"/>
  <c r="B26" i="18"/>
  <c r="Z25" i="18"/>
  <c r="X25" i="18"/>
  <c r="V25" i="18"/>
  <c r="N25" i="18"/>
  <c r="L25" i="18"/>
  <c r="B25" i="18"/>
  <c r="Z24" i="18"/>
  <c r="X24" i="18"/>
  <c r="N24" i="18"/>
  <c r="L24" i="18"/>
  <c r="B24" i="18"/>
  <c r="Z23" i="18"/>
  <c r="X23" i="18"/>
  <c r="N23" i="18"/>
  <c r="L23" i="18"/>
  <c r="B23" i="18"/>
  <c r="X22" i="18"/>
  <c r="Z22" i="18" s="1"/>
  <c r="V22" i="18"/>
  <c r="N22" i="18"/>
  <c r="L22" i="18"/>
  <c r="B22" i="18"/>
  <c r="X21" i="18"/>
  <c r="Z21" i="18" s="1"/>
  <c r="T21" i="18"/>
  <c r="P21" i="18"/>
  <c r="H21" i="18"/>
  <c r="D21" i="18"/>
  <c r="Z19" i="18"/>
  <c r="P19" i="18"/>
  <c r="X19" i="18" s="1"/>
  <c r="N19" i="18"/>
  <c r="D19" i="18"/>
  <c r="L19" i="18" s="1"/>
  <c r="B19" i="18"/>
  <c r="Z18" i="18"/>
  <c r="P18" i="18"/>
  <c r="X18" i="18" s="1"/>
  <c r="N18" i="18"/>
  <c r="L18" i="18"/>
  <c r="D18" i="18"/>
  <c r="B18" i="18"/>
  <c r="Z17" i="18"/>
  <c r="X17" i="18"/>
  <c r="P17" i="18"/>
  <c r="N17" i="18"/>
  <c r="L17" i="18"/>
  <c r="D17" i="18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D15" i="18"/>
  <c r="L15" i="18" s="1"/>
  <c r="B15" i="18"/>
  <c r="P14" i="18"/>
  <c r="X14" i="18" s="1"/>
  <c r="Z14" i="18" s="1"/>
  <c r="L14" i="18"/>
  <c r="N14" i="18" s="1"/>
  <c r="D14" i="18"/>
  <c r="B14" i="18"/>
  <c r="Z13" i="18"/>
  <c r="X13" i="18"/>
  <c r="P13" i="18"/>
  <c r="D13" i="18"/>
  <c r="L13" i="18" s="1"/>
  <c r="N13" i="18" s="1"/>
  <c r="B13" i="18"/>
  <c r="T12" i="18"/>
  <c r="V145" i="18" s="1"/>
  <c r="H12" i="18"/>
  <c r="J143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36" i="17" s="1"/>
  <c r="P12" i="17"/>
  <c r="R21" i="17" s="1"/>
  <c r="H12" i="17"/>
  <c r="D12" i="17"/>
  <c r="F36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0" i="16" s="1"/>
  <c r="P12" i="16"/>
  <c r="R34" i="16" s="1"/>
  <c r="H12" i="16"/>
  <c r="J22" i="16" s="1"/>
  <c r="D12" i="16"/>
  <c r="F18" i="16" s="1"/>
  <c r="D5" i="16"/>
  <c r="D4" i="16"/>
  <c r="X153" i="15"/>
  <c r="Z153" i="15" s="1"/>
  <c r="L153" i="15"/>
  <c r="N153" i="15" s="1"/>
  <c r="Z149" i="15"/>
  <c r="X149" i="15"/>
  <c r="P149" i="15"/>
  <c r="N149" i="15"/>
  <c r="D149" i="15"/>
  <c r="L149" i="15" s="1"/>
  <c r="B149" i="15"/>
  <c r="Z148" i="15"/>
  <c r="X148" i="15"/>
  <c r="P148" i="15"/>
  <c r="N148" i="15"/>
  <c r="L148" i="15"/>
  <c r="D148" i="15"/>
  <c r="B148" i="15"/>
  <c r="Z147" i="15"/>
  <c r="P147" i="15"/>
  <c r="X147" i="15" s="1"/>
  <c r="N147" i="15"/>
  <c r="L147" i="15"/>
  <c r="D147" i="15"/>
  <c r="B147" i="15"/>
  <c r="P146" i="15"/>
  <c r="X146" i="15" s="1"/>
  <c r="Z146" i="15" s="1"/>
  <c r="N146" i="15"/>
  <c r="D146" i="15"/>
  <c r="L146" i="15" s="1"/>
  <c r="B146" i="15"/>
  <c r="X145" i="15"/>
  <c r="Z145" i="15" s="1"/>
  <c r="P145" i="15"/>
  <c r="D145" i="15"/>
  <c r="L145" i="15" s="1"/>
  <c r="N145" i="15" s="1"/>
  <c r="B145" i="15"/>
  <c r="T144" i="15"/>
  <c r="H144" i="15"/>
  <c r="Z142" i="15"/>
  <c r="X142" i="15"/>
  <c r="N142" i="15"/>
  <c r="L142" i="15"/>
  <c r="B142" i="15"/>
  <c r="X141" i="15"/>
  <c r="Z141" i="15" s="1"/>
  <c r="T141" i="15"/>
  <c r="P141" i="15"/>
  <c r="H141" i="15"/>
  <c r="D141" i="15"/>
  <c r="B141" i="15"/>
  <c r="X140" i="15"/>
  <c r="Z140" i="15" s="1"/>
  <c r="N140" i="15"/>
  <c r="L140" i="15"/>
  <c r="B140" i="15"/>
  <c r="Z139" i="15"/>
  <c r="X139" i="15"/>
  <c r="L139" i="15"/>
  <c r="N139" i="15" s="1"/>
  <c r="B139" i="15"/>
  <c r="Z138" i="15"/>
  <c r="X138" i="15"/>
  <c r="N138" i="15"/>
  <c r="L138" i="15"/>
  <c r="B138" i="15"/>
  <c r="X137" i="15"/>
  <c r="Z137" i="15" s="1"/>
  <c r="T137" i="15"/>
  <c r="P137" i="15"/>
  <c r="H137" i="15"/>
  <c r="D137" i="15"/>
  <c r="B137" i="15"/>
  <c r="X136" i="15"/>
  <c r="Z136" i="15" s="1"/>
  <c r="N136" i="15"/>
  <c r="L136" i="15"/>
  <c r="B136" i="15"/>
  <c r="T135" i="15"/>
  <c r="P135" i="15"/>
  <c r="H135" i="15"/>
  <c r="N135" i="15" s="1"/>
  <c r="D135" i="15"/>
  <c r="L135" i="15" s="1"/>
  <c r="B135" i="15"/>
  <c r="Z134" i="15"/>
  <c r="X134" i="15"/>
  <c r="N134" i="15"/>
  <c r="L134" i="15"/>
  <c r="B134" i="15"/>
  <c r="Z133" i="15"/>
  <c r="X133" i="15"/>
  <c r="N133" i="15"/>
  <c r="L133" i="15"/>
  <c r="B133" i="15"/>
  <c r="X132" i="15"/>
  <c r="Z132" i="15" s="1"/>
  <c r="T132" i="15"/>
  <c r="P132" i="15"/>
  <c r="H132" i="15"/>
  <c r="N132" i="15" s="1"/>
  <c r="D132" i="15"/>
  <c r="L132" i="15" s="1"/>
  <c r="B132" i="15"/>
  <c r="X131" i="15"/>
  <c r="Z131" i="15" s="1"/>
  <c r="N131" i="15"/>
  <c r="L131" i="15"/>
  <c r="B131" i="15"/>
  <c r="Z130" i="15"/>
  <c r="X130" i="15"/>
  <c r="N130" i="15"/>
  <c r="L130" i="15"/>
  <c r="B130" i="15"/>
  <c r="X129" i="15"/>
  <c r="Z129" i="15" s="1"/>
  <c r="L129" i="15"/>
  <c r="N129" i="15" s="1"/>
  <c r="B129" i="15"/>
  <c r="X128" i="15"/>
  <c r="Z128" i="15" s="1"/>
  <c r="N128" i="15"/>
  <c r="L128" i="15"/>
  <c r="B128" i="15"/>
  <c r="Z127" i="15"/>
  <c r="X127" i="15"/>
  <c r="L127" i="15"/>
  <c r="N127" i="15" s="1"/>
  <c r="B127" i="15"/>
  <c r="Z126" i="15"/>
  <c r="X126" i="15"/>
  <c r="N126" i="15"/>
  <c r="L126" i="15"/>
  <c r="B126" i="15"/>
  <c r="X125" i="15"/>
  <c r="Z125" i="15" s="1"/>
  <c r="L125" i="15"/>
  <c r="N125" i="15" s="1"/>
  <c r="B125" i="15"/>
  <c r="T124" i="15"/>
  <c r="P124" i="15"/>
  <c r="X124" i="15" s="1"/>
  <c r="Z124" i="15" s="1"/>
  <c r="N124" i="15"/>
  <c r="L124" i="15"/>
  <c r="H124" i="15"/>
  <c r="D124" i="15"/>
  <c r="B124" i="15"/>
  <c r="Z123" i="15"/>
  <c r="X123" i="15"/>
  <c r="L123" i="15"/>
  <c r="N123" i="15" s="1"/>
  <c r="B123" i="15"/>
  <c r="Z122" i="15"/>
  <c r="X122" i="15"/>
  <c r="N122" i="15"/>
  <c r="L122" i="15"/>
  <c r="B122" i="15"/>
  <c r="X121" i="15"/>
  <c r="T121" i="15"/>
  <c r="Z121" i="15" s="1"/>
  <c r="P121" i="15"/>
  <c r="H121" i="15"/>
  <c r="D121" i="15"/>
  <c r="B121" i="15"/>
  <c r="Z120" i="15"/>
  <c r="X120" i="15"/>
  <c r="N120" i="15"/>
  <c r="L120" i="15"/>
  <c r="B120" i="15"/>
  <c r="Z119" i="15"/>
  <c r="X119" i="15"/>
  <c r="L119" i="15"/>
  <c r="N119" i="15" s="1"/>
  <c r="B119" i="15"/>
  <c r="Z118" i="15"/>
  <c r="X118" i="15"/>
  <c r="N118" i="15"/>
  <c r="L118" i="15"/>
  <c r="B118" i="15"/>
  <c r="X117" i="15"/>
  <c r="T117" i="15"/>
  <c r="Z117" i="15" s="1"/>
  <c r="P117" i="15"/>
  <c r="H117" i="15"/>
  <c r="D117" i="15"/>
  <c r="B117" i="15"/>
  <c r="X116" i="15"/>
  <c r="Z116" i="15" s="1"/>
  <c r="N116" i="15"/>
  <c r="L116" i="15"/>
  <c r="B116" i="15"/>
  <c r="Z115" i="15"/>
  <c r="X115" i="15"/>
  <c r="L115" i="15"/>
  <c r="N115" i="15" s="1"/>
  <c r="B115" i="15"/>
  <c r="Z114" i="15"/>
  <c r="X114" i="15"/>
  <c r="N114" i="15"/>
  <c r="L114" i="15"/>
  <c r="B114" i="15"/>
  <c r="X113" i="15"/>
  <c r="Z113" i="15" s="1"/>
  <c r="L113" i="15"/>
  <c r="N113" i="15" s="1"/>
  <c r="B113" i="15"/>
  <c r="T112" i="15"/>
  <c r="P112" i="15"/>
  <c r="X112" i="15" s="1"/>
  <c r="Z112" i="15" s="1"/>
  <c r="N112" i="15"/>
  <c r="L112" i="15"/>
  <c r="H112" i="15"/>
  <c r="D112" i="15"/>
  <c r="B112" i="15"/>
  <c r="Z111" i="15"/>
  <c r="X111" i="15"/>
  <c r="L111" i="15"/>
  <c r="N111" i="15" s="1"/>
  <c r="B111" i="15"/>
  <c r="Z110" i="15"/>
  <c r="X110" i="15"/>
  <c r="N110" i="15"/>
  <c r="L110" i="15"/>
  <c r="B110" i="15"/>
  <c r="X109" i="15"/>
  <c r="Z109" i="15" s="1"/>
  <c r="L109" i="15"/>
  <c r="N109" i="15" s="1"/>
  <c r="B109" i="15"/>
  <c r="Z108" i="15"/>
  <c r="X108" i="15"/>
  <c r="L108" i="15"/>
  <c r="N108" i="15" s="1"/>
  <c r="B108" i="15"/>
  <c r="T107" i="15"/>
  <c r="Z107" i="15" s="1"/>
  <c r="P107" i="15"/>
  <c r="X107" i="15" s="1"/>
  <c r="L107" i="15"/>
  <c r="N107" i="15" s="1"/>
  <c r="H107" i="15"/>
  <c r="D107" i="15"/>
  <c r="B107" i="15"/>
  <c r="Z106" i="15"/>
  <c r="X106" i="15"/>
  <c r="N106" i="15"/>
  <c r="L106" i="15"/>
  <c r="B106" i="15"/>
  <c r="X105" i="15"/>
  <c r="T105" i="15"/>
  <c r="Z105" i="15" s="1"/>
  <c r="P105" i="15"/>
  <c r="H105" i="15"/>
  <c r="D105" i="15"/>
  <c r="B105" i="15"/>
  <c r="X104" i="15"/>
  <c r="Z104" i="15" s="1"/>
  <c r="N104" i="15"/>
  <c r="L104" i="15"/>
  <c r="B104" i="15"/>
  <c r="T103" i="15"/>
  <c r="P103" i="15"/>
  <c r="H103" i="15"/>
  <c r="D103" i="15"/>
  <c r="L103" i="15" s="1"/>
  <c r="B103" i="15"/>
  <c r="Z102" i="15"/>
  <c r="X102" i="15"/>
  <c r="N102" i="15"/>
  <c r="L102" i="15"/>
  <c r="B102" i="15"/>
  <c r="T101" i="15"/>
  <c r="P101" i="15"/>
  <c r="X101" i="15" s="1"/>
  <c r="H101" i="15"/>
  <c r="D101" i="15"/>
  <c r="L101" i="15" s="1"/>
  <c r="B101" i="15"/>
  <c r="Z100" i="15"/>
  <c r="X100" i="15"/>
  <c r="L100" i="15"/>
  <c r="N100" i="15" s="1"/>
  <c r="B100" i="15"/>
  <c r="T99" i="15"/>
  <c r="Z99" i="15" s="1"/>
  <c r="P99" i="15"/>
  <c r="X99" i="15" s="1"/>
  <c r="L99" i="15"/>
  <c r="H99" i="15"/>
  <c r="N99" i="15" s="1"/>
  <c r="D99" i="15"/>
  <c r="B99" i="15"/>
  <c r="Z98" i="15"/>
  <c r="X98" i="15"/>
  <c r="N98" i="15"/>
  <c r="L98" i="15"/>
  <c r="B98" i="15"/>
  <c r="X97" i="15"/>
  <c r="Z97" i="15" s="1"/>
  <c r="N97" i="15"/>
  <c r="L97" i="15"/>
  <c r="B97" i="15"/>
  <c r="T96" i="15"/>
  <c r="P96" i="15"/>
  <c r="X96" i="15" s="1"/>
  <c r="Z96" i="15" s="1"/>
  <c r="N96" i="15"/>
  <c r="L96" i="15"/>
  <c r="H96" i="15"/>
  <c r="D96" i="15"/>
  <c r="B96" i="15"/>
  <c r="Z95" i="15"/>
  <c r="X95" i="15"/>
  <c r="L95" i="15"/>
  <c r="N95" i="15" s="1"/>
  <c r="B95" i="15"/>
  <c r="Z94" i="15"/>
  <c r="X94" i="15"/>
  <c r="N94" i="15"/>
  <c r="L94" i="15"/>
  <c r="B94" i="15"/>
  <c r="X93" i="15"/>
  <c r="Z93" i="15" s="1"/>
  <c r="T93" i="15"/>
  <c r="P93" i="15"/>
  <c r="H93" i="15"/>
  <c r="D93" i="15"/>
  <c r="B93" i="15"/>
  <c r="X92" i="15"/>
  <c r="Z92" i="15" s="1"/>
  <c r="N92" i="15"/>
  <c r="L92" i="15"/>
  <c r="B92" i="15"/>
  <c r="T91" i="15"/>
  <c r="P91" i="15"/>
  <c r="H91" i="15"/>
  <c r="N91" i="15" s="1"/>
  <c r="D91" i="15"/>
  <c r="L91" i="15" s="1"/>
  <c r="B91" i="15"/>
  <c r="Z90" i="15"/>
  <c r="X90" i="15"/>
  <c r="N90" i="15"/>
  <c r="L90" i="15"/>
  <c r="B90" i="15"/>
  <c r="T89" i="15"/>
  <c r="Z89" i="15" s="1"/>
  <c r="P89" i="15"/>
  <c r="X89" i="15" s="1"/>
  <c r="H89" i="15"/>
  <c r="N89" i="15" s="1"/>
  <c r="D89" i="15"/>
  <c r="L89" i="15" s="1"/>
  <c r="B89" i="15"/>
  <c r="Z88" i="15"/>
  <c r="X88" i="15"/>
  <c r="L88" i="15"/>
  <c r="N88" i="15" s="1"/>
  <c r="B88" i="15"/>
  <c r="T87" i="15"/>
  <c r="P87" i="15"/>
  <c r="X87" i="15" s="1"/>
  <c r="L87" i="15"/>
  <c r="H87" i="15"/>
  <c r="N87" i="15" s="1"/>
  <c r="D87" i="15"/>
  <c r="B87" i="15"/>
  <c r="Z86" i="15"/>
  <c r="X86" i="15"/>
  <c r="N86" i="15"/>
  <c r="L86" i="15"/>
  <c r="B86" i="15"/>
  <c r="Z85" i="15"/>
  <c r="X85" i="15"/>
  <c r="N85" i="15"/>
  <c r="L85" i="15"/>
  <c r="B85" i="15"/>
  <c r="Z84" i="15"/>
  <c r="T84" i="15"/>
  <c r="P84" i="15"/>
  <c r="X84" i="15" s="1"/>
  <c r="N84" i="15"/>
  <c r="L84" i="15"/>
  <c r="H84" i="15"/>
  <c r="D84" i="15"/>
  <c r="B84" i="15"/>
  <c r="Z83" i="15"/>
  <c r="X83" i="15"/>
  <c r="L83" i="15"/>
  <c r="N83" i="15" s="1"/>
  <c r="B83" i="15"/>
  <c r="Z82" i="15"/>
  <c r="X82" i="15"/>
  <c r="N82" i="15"/>
  <c r="L82" i="15"/>
  <c r="B82" i="15"/>
  <c r="X81" i="15"/>
  <c r="T81" i="15"/>
  <c r="Z81" i="15" s="1"/>
  <c r="P81" i="15"/>
  <c r="H81" i="15"/>
  <c r="D81" i="15"/>
  <c r="B81" i="15"/>
  <c r="X80" i="15"/>
  <c r="Z80" i="15" s="1"/>
  <c r="N80" i="15"/>
  <c r="L80" i="15"/>
  <c r="B80" i="15"/>
  <c r="T79" i="15"/>
  <c r="P79" i="15"/>
  <c r="H79" i="15"/>
  <c r="D79" i="15"/>
  <c r="L79" i="15" s="1"/>
  <c r="B79" i="15"/>
  <c r="Z78" i="15"/>
  <c r="X78" i="15"/>
  <c r="N78" i="15"/>
  <c r="L78" i="15"/>
  <c r="B78" i="15"/>
  <c r="T77" i="15"/>
  <c r="P77" i="15"/>
  <c r="X77" i="15" s="1"/>
  <c r="H77" i="15"/>
  <c r="N77" i="15" s="1"/>
  <c r="D77" i="15"/>
  <c r="L77" i="15" s="1"/>
  <c r="B77" i="15"/>
  <c r="Z76" i="15"/>
  <c r="X76" i="15"/>
  <c r="N76" i="15"/>
  <c r="L76" i="15"/>
  <c r="B76" i="15"/>
  <c r="T75" i="15"/>
  <c r="Z75" i="15" s="1"/>
  <c r="P75" i="15"/>
  <c r="X75" i="15" s="1"/>
  <c r="L75" i="15"/>
  <c r="H75" i="15"/>
  <c r="N75" i="15" s="1"/>
  <c r="D75" i="15"/>
  <c r="B75" i="15"/>
  <c r="Z74" i="15"/>
  <c r="X74" i="15"/>
  <c r="N74" i="15"/>
  <c r="L74" i="15"/>
  <c r="B74" i="15"/>
  <c r="Z73" i="15"/>
  <c r="X73" i="15"/>
  <c r="N73" i="15"/>
  <c r="L73" i="15"/>
  <c r="B73" i="15"/>
  <c r="Z72" i="15"/>
  <c r="X72" i="15"/>
  <c r="N72" i="15"/>
  <c r="L72" i="15"/>
  <c r="B72" i="15"/>
  <c r="X71" i="15"/>
  <c r="Z71" i="15" s="1"/>
  <c r="N71" i="15"/>
  <c r="L71" i="15"/>
  <c r="B71" i="15"/>
  <c r="Z70" i="15"/>
  <c r="X70" i="15"/>
  <c r="N70" i="15"/>
  <c r="L70" i="15"/>
  <c r="B70" i="15"/>
  <c r="X69" i="15"/>
  <c r="Z69" i="15" s="1"/>
  <c r="L69" i="15"/>
  <c r="N69" i="15" s="1"/>
  <c r="B69" i="15"/>
  <c r="Z68" i="15"/>
  <c r="X68" i="15"/>
  <c r="N68" i="15"/>
  <c r="L68" i="15"/>
  <c r="B68" i="15"/>
  <c r="Z67" i="15"/>
  <c r="X67" i="15"/>
  <c r="N67" i="15"/>
  <c r="L67" i="15"/>
  <c r="B67" i="15"/>
  <c r="Z66" i="15"/>
  <c r="X66" i="15"/>
  <c r="N66" i="15"/>
  <c r="L66" i="15"/>
  <c r="B66" i="15"/>
  <c r="X65" i="15"/>
  <c r="Z65" i="15" s="1"/>
  <c r="L65" i="15"/>
  <c r="N65" i="15" s="1"/>
  <c r="B65" i="15"/>
  <c r="T64" i="15"/>
  <c r="P64" i="15"/>
  <c r="X64" i="15" s="1"/>
  <c r="Z64" i="15" s="1"/>
  <c r="N64" i="15"/>
  <c r="L64" i="15"/>
  <c r="H64" i="15"/>
  <c r="D64" i="15"/>
  <c r="B64" i="15"/>
  <c r="Z63" i="15"/>
  <c r="X63" i="15"/>
  <c r="L63" i="15"/>
  <c r="N63" i="15" s="1"/>
  <c r="B63" i="15"/>
  <c r="Z62" i="15"/>
  <c r="X62" i="15"/>
  <c r="N62" i="15"/>
  <c r="L62" i="15"/>
  <c r="B62" i="15"/>
  <c r="X61" i="15"/>
  <c r="Z61" i="15" s="1"/>
  <c r="L61" i="15"/>
  <c r="N61" i="15" s="1"/>
  <c r="B61" i="15"/>
  <c r="Z60" i="15"/>
  <c r="X60" i="15"/>
  <c r="N60" i="15"/>
  <c r="L60" i="15"/>
  <c r="B60" i="15"/>
  <c r="Z59" i="15"/>
  <c r="X59" i="15"/>
  <c r="N59" i="15"/>
  <c r="L59" i="15"/>
  <c r="B59" i="15"/>
  <c r="Z58" i="15"/>
  <c r="X58" i="15"/>
  <c r="N58" i="15"/>
  <c r="L58" i="15"/>
  <c r="B58" i="15"/>
  <c r="X57" i="15"/>
  <c r="Z57" i="15" s="1"/>
  <c r="L57" i="15"/>
  <c r="N57" i="15" s="1"/>
  <c r="B57" i="15"/>
  <c r="X56" i="15"/>
  <c r="Z56" i="15" s="1"/>
  <c r="N56" i="15"/>
  <c r="L56" i="15"/>
  <c r="B56" i="15"/>
  <c r="Z55" i="15"/>
  <c r="X55" i="15"/>
  <c r="L55" i="15"/>
  <c r="N55" i="15" s="1"/>
  <c r="B55" i="15"/>
  <c r="Z54" i="15"/>
  <c r="X54" i="15"/>
  <c r="N54" i="15"/>
  <c r="L54" i="15"/>
  <c r="B54" i="15"/>
  <c r="X53" i="15"/>
  <c r="T53" i="15"/>
  <c r="Z53" i="15" s="1"/>
  <c r="P53" i="15"/>
  <c r="H53" i="15"/>
  <c r="D53" i="15"/>
  <c r="B53" i="15"/>
  <c r="T52" i="15" a="1"/>
  <c r="T52" i="15"/>
  <c r="P52" i="15" a="1"/>
  <c r="P52" i="15" s="1"/>
  <c r="H52" i="15" a="1"/>
  <c r="H52" i="15" s="1"/>
  <c r="D52" i="15" a="1"/>
  <c r="D52" i="15" s="1"/>
  <c r="Z48" i="15"/>
  <c r="X48" i="15"/>
  <c r="N48" i="15"/>
  <c r="L48" i="15"/>
  <c r="B48" i="15"/>
  <c r="Z47" i="15"/>
  <c r="X47" i="15"/>
  <c r="N47" i="15"/>
  <c r="L47" i="15"/>
  <c r="B47" i="15"/>
  <c r="Z46" i="15"/>
  <c r="X46" i="15"/>
  <c r="N46" i="15"/>
  <c r="L46" i="15"/>
  <c r="J46" i="15"/>
  <c r="B46" i="15"/>
  <c r="Z45" i="15"/>
  <c r="X45" i="15"/>
  <c r="N45" i="15"/>
  <c r="L45" i="15"/>
  <c r="B45" i="15"/>
  <c r="Z44" i="15"/>
  <c r="X44" i="15"/>
  <c r="N44" i="15"/>
  <c r="L44" i="15"/>
  <c r="B44" i="15"/>
  <c r="Z43" i="15"/>
  <c r="X43" i="15"/>
  <c r="N43" i="15"/>
  <c r="L43" i="15"/>
  <c r="B43" i="15"/>
  <c r="Z42" i="15"/>
  <c r="X42" i="15"/>
  <c r="N42" i="15"/>
  <c r="L42" i="15"/>
  <c r="J42" i="15"/>
  <c r="B42" i="15"/>
  <c r="Z41" i="15"/>
  <c r="X41" i="15"/>
  <c r="N41" i="15"/>
  <c r="L41" i="15"/>
  <c r="J41" i="15"/>
  <c r="B41" i="15"/>
  <c r="Z40" i="15"/>
  <c r="X40" i="15"/>
  <c r="N40" i="15"/>
  <c r="L40" i="15"/>
  <c r="B40" i="15"/>
  <c r="Z39" i="15"/>
  <c r="X39" i="15"/>
  <c r="N39" i="15"/>
  <c r="L39" i="15"/>
  <c r="B39" i="15"/>
  <c r="Z38" i="15"/>
  <c r="X38" i="15"/>
  <c r="N38" i="15"/>
  <c r="L38" i="15"/>
  <c r="J38" i="15"/>
  <c r="B38" i="15"/>
  <c r="Z37" i="15"/>
  <c r="X37" i="15"/>
  <c r="N37" i="15"/>
  <c r="L37" i="15"/>
  <c r="B37" i="15"/>
  <c r="Z36" i="15"/>
  <c r="X36" i="15"/>
  <c r="N36" i="15"/>
  <c r="L36" i="15"/>
  <c r="J36" i="15"/>
  <c r="B36" i="15"/>
  <c r="Z35" i="15"/>
  <c r="X35" i="15"/>
  <c r="N35" i="15"/>
  <c r="L35" i="15"/>
  <c r="B35" i="15"/>
  <c r="Z34" i="15"/>
  <c r="X34" i="15"/>
  <c r="N34" i="15"/>
  <c r="L34" i="15"/>
  <c r="J34" i="15"/>
  <c r="B34" i="15"/>
  <c r="Z33" i="15"/>
  <c r="X33" i="15"/>
  <c r="N33" i="15"/>
  <c r="L33" i="15"/>
  <c r="J33" i="15"/>
  <c r="B33" i="15"/>
  <c r="Z32" i="15"/>
  <c r="X32" i="15"/>
  <c r="N32" i="15"/>
  <c r="L32" i="15"/>
  <c r="B32" i="15"/>
  <c r="Z31" i="15"/>
  <c r="X31" i="15"/>
  <c r="N31" i="15"/>
  <c r="L31" i="15"/>
  <c r="J31" i="15"/>
  <c r="B31" i="15"/>
  <c r="Z30" i="15"/>
  <c r="X30" i="15"/>
  <c r="N30" i="15"/>
  <c r="L30" i="15"/>
  <c r="J30" i="15"/>
  <c r="B30" i="15"/>
  <c r="Z29" i="15"/>
  <c r="X29" i="15"/>
  <c r="N29" i="15"/>
  <c r="L29" i="15"/>
  <c r="B29" i="15"/>
  <c r="Z28" i="15"/>
  <c r="X28" i="15"/>
  <c r="N28" i="15"/>
  <c r="L28" i="15"/>
  <c r="J28" i="15"/>
  <c r="B28" i="15"/>
  <c r="Z27" i="15"/>
  <c r="X27" i="15"/>
  <c r="N27" i="15"/>
  <c r="L27" i="15"/>
  <c r="B27" i="15"/>
  <c r="Z26" i="15"/>
  <c r="X26" i="15"/>
  <c r="N26" i="15"/>
  <c r="L26" i="15"/>
  <c r="J26" i="15"/>
  <c r="B26" i="15"/>
  <c r="Z25" i="15"/>
  <c r="X25" i="15"/>
  <c r="N25" i="15"/>
  <c r="L25" i="15"/>
  <c r="J25" i="15"/>
  <c r="B25" i="15"/>
  <c r="Z24" i="15"/>
  <c r="X24" i="15"/>
  <c r="N24" i="15"/>
  <c r="L24" i="15"/>
  <c r="B24" i="15"/>
  <c r="Z23" i="15"/>
  <c r="X23" i="15"/>
  <c r="N23" i="15"/>
  <c r="L23" i="15"/>
  <c r="J23" i="15"/>
  <c r="B23" i="15"/>
  <c r="Z22" i="15"/>
  <c r="X22" i="15"/>
  <c r="L22" i="15"/>
  <c r="N22" i="15" s="1"/>
  <c r="J22" i="15"/>
  <c r="B22" i="15"/>
  <c r="T21" i="15"/>
  <c r="Z21" i="15" s="1"/>
  <c r="P21" i="15"/>
  <c r="X21" i="15" s="1"/>
  <c r="H21" i="15"/>
  <c r="D21" i="15"/>
  <c r="Z19" i="15"/>
  <c r="X19" i="15"/>
  <c r="P19" i="15"/>
  <c r="N19" i="15"/>
  <c r="D19" i="15"/>
  <c r="L19" i="15" s="1"/>
  <c r="B19" i="15"/>
  <c r="Z18" i="15"/>
  <c r="P18" i="15"/>
  <c r="X18" i="15" s="1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X16" i="15"/>
  <c r="P16" i="15"/>
  <c r="N16" i="15"/>
  <c r="L16" i="15"/>
  <c r="D16" i="15"/>
  <c r="B16" i="15"/>
  <c r="Z15" i="15"/>
  <c r="X15" i="15"/>
  <c r="P15" i="15"/>
  <c r="N15" i="15"/>
  <c r="D15" i="15"/>
  <c r="L15" i="15" s="1"/>
  <c r="B15" i="15"/>
  <c r="P14" i="15"/>
  <c r="X14" i="15" s="1"/>
  <c r="Z14" i="15" s="1"/>
  <c r="D14" i="15"/>
  <c r="L14" i="15" s="1"/>
  <c r="N14" i="15" s="1"/>
  <c r="B14" i="15"/>
  <c r="X13" i="15"/>
  <c r="Z13" i="15" s="1"/>
  <c r="P13" i="15"/>
  <c r="N13" i="15"/>
  <c r="L13" i="15"/>
  <c r="D13" i="15"/>
  <c r="B13" i="15"/>
  <c r="T12" i="15"/>
  <c r="V148" i="15" s="1"/>
  <c r="H12" i="15"/>
  <c r="J147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34" i="14" s="1"/>
  <c r="P12" i="14"/>
  <c r="R34" i="14" s="1"/>
  <c r="H12" i="14"/>
  <c r="J21" i="14" s="1"/>
  <c r="D12" i="14"/>
  <c r="F34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0" i="13" s="1"/>
  <c r="P12" i="13"/>
  <c r="R36" i="13" s="1"/>
  <c r="H12" i="13"/>
  <c r="J34" i="13" s="1"/>
  <c r="D12" i="13"/>
  <c r="F20" i="13" s="1"/>
  <c r="D5" i="13"/>
  <c r="D4" i="13"/>
  <c r="X162" i="12"/>
  <c r="Z162" i="12" s="1"/>
  <c r="L162" i="12"/>
  <c r="N162" i="12" s="1"/>
  <c r="Z158" i="12"/>
  <c r="X158" i="12"/>
  <c r="P158" i="12"/>
  <c r="N158" i="12"/>
  <c r="D158" i="12"/>
  <c r="L158" i="12" s="1"/>
  <c r="B158" i="12"/>
  <c r="P157" i="12"/>
  <c r="X157" i="12" s="1"/>
  <c r="Z157" i="12" s="1"/>
  <c r="N157" i="12"/>
  <c r="L157" i="12"/>
  <c r="D157" i="12"/>
  <c r="B157" i="12"/>
  <c r="Z156" i="12"/>
  <c r="X156" i="12"/>
  <c r="P156" i="12"/>
  <c r="N156" i="12"/>
  <c r="D156" i="12"/>
  <c r="L156" i="12" s="1"/>
  <c r="B156" i="12"/>
  <c r="P155" i="12"/>
  <c r="X155" i="12" s="1"/>
  <c r="Z155" i="12" s="1"/>
  <c r="N155" i="12"/>
  <c r="L155" i="12"/>
  <c r="D155" i="12"/>
  <c r="B155" i="12"/>
  <c r="X154" i="12"/>
  <c r="Z154" i="12" s="1"/>
  <c r="P154" i="12"/>
  <c r="P153" i="12" s="1"/>
  <c r="X153" i="12" s="1"/>
  <c r="Z153" i="12" s="1"/>
  <c r="N154" i="12"/>
  <c r="D154" i="12"/>
  <c r="L154" i="12" s="1"/>
  <c r="B154" i="12"/>
  <c r="T153" i="12"/>
  <c r="H153" i="12"/>
  <c r="Z151" i="12"/>
  <c r="X151" i="12"/>
  <c r="L151" i="12"/>
  <c r="N151" i="12" s="1"/>
  <c r="B151" i="12"/>
  <c r="T150" i="12"/>
  <c r="P150" i="12"/>
  <c r="X150" i="12" s="1"/>
  <c r="L150" i="12"/>
  <c r="H150" i="12"/>
  <c r="D150" i="12"/>
  <c r="B150" i="12"/>
  <c r="Z149" i="12"/>
  <c r="X149" i="12"/>
  <c r="N149" i="12"/>
  <c r="L149" i="12"/>
  <c r="B149" i="12"/>
  <c r="X148" i="12"/>
  <c r="Z148" i="12" s="1"/>
  <c r="N148" i="12"/>
  <c r="L148" i="12"/>
  <c r="B148" i="12"/>
  <c r="Z147" i="12"/>
  <c r="X147" i="12"/>
  <c r="L147" i="12"/>
  <c r="N147" i="12" s="1"/>
  <c r="B147" i="12"/>
  <c r="X146" i="12"/>
  <c r="T146" i="12"/>
  <c r="Z146" i="12" s="1"/>
  <c r="P146" i="12"/>
  <c r="L146" i="12"/>
  <c r="H146" i="12"/>
  <c r="D146" i="12"/>
  <c r="B146" i="12"/>
  <c r="Z145" i="12"/>
  <c r="X145" i="12"/>
  <c r="N145" i="12"/>
  <c r="L145" i="12"/>
  <c r="B145" i="12"/>
  <c r="T144" i="12"/>
  <c r="P144" i="12"/>
  <c r="N144" i="12"/>
  <c r="H144" i="12"/>
  <c r="D144" i="12"/>
  <c r="L144" i="12" s="1"/>
  <c r="B144" i="12"/>
  <c r="X143" i="12"/>
  <c r="Z143" i="12" s="1"/>
  <c r="N143" i="12"/>
  <c r="L143" i="12"/>
  <c r="B143" i="12"/>
  <c r="X142" i="12"/>
  <c r="Z142" i="12" s="1"/>
  <c r="L142" i="12"/>
  <c r="N142" i="12" s="1"/>
  <c r="B142" i="12"/>
  <c r="T141" i="12"/>
  <c r="P141" i="12"/>
  <c r="X141" i="12" s="1"/>
  <c r="Z141" i="12" s="1"/>
  <c r="L141" i="12"/>
  <c r="N141" i="12" s="1"/>
  <c r="H141" i="12"/>
  <c r="D141" i="12"/>
  <c r="B141" i="12"/>
  <c r="Z140" i="12"/>
  <c r="X140" i="12"/>
  <c r="L140" i="12"/>
  <c r="N140" i="12" s="1"/>
  <c r="B140" i="12"/>
  <c r="X139" i="12"/>
  <c r="Z139" i="12" s="1"/>
  <c r="N139" i="12"/>
  <c r="L139" i="12"/>
  <c r="B139" i="12"/>
  <c r="Z138" i="12"/>
  <c r="X138" i="12"/>
  <c r="L138" i="12"/>
  <c r="N138" i="12" s="1"/>
  <c r="B138" i="12"/>
  <c r="Z137" i="12"/>
  <c r="X137" i="12"/>
  <c r="L137" i="12"/>
  <c r="N137" i="12" s="1"/>
  <c r="B137" i="12"/>
  <c r="X136" i="12"/>
  <c r="Z136" i="12" s="1"/>
  <c r="N136" i="12"/>
  <c r="L136" i="12"/>
  <c r="B136" i="12"/>
  <c r="Z135" i="12"/>
  <c r="X135" i="12"/>
  <c r="N135" i="12"/>
  <c r="L135" i="12"/>
  <c r="B135" i="12"/>
  <c r="X134" i="12"/>
  <c r="Z134" i="12" s="1"/>
  <c r="L134" i="12"/>
  <c r="N134" i="12" s="1"/>
  <c r="B134" i="12"/>
  <c r="T133" i="12"/>
  <c r="X133" i="12" s="1"/>
  <c r="Z133" i="12" s="1"/>
  <c r="P133" i="12"/>
  <c r="H133" i="12"/>
  <c r="N133" i="12" s="1"/>
  <c r="D133" i="12"/>
  <c r="L133" i="12" s="1"/>
  <c r="B133" i="12"/>
  <c r="X132" i="12"/>
  <c r="Z132" i="12" s="1"/>
  <c r="L132" i="12"/>
  <c r="N132" i="12" s="1"/>
  <c r="B132" i="12"/>
  <c r="Z131" i="12"/>
  <c r="X131" i="12"/>
  <c r="N131" i="12"/>
  <c r="L131" i="12"/>
  <c r="B131" i="12"/>
  <c r="T130" i="12"/>
  <c r="P130" i="12"/>
  <c r="X130" i="12" s="1"/>
  <c r="H130" i="12"/>
  <c r="D130" i="12"/>
  <c r="L130" i="12" s="1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L127" i="12"/>
  <c r="N127" i="12" s="1"/>
  <c r="B127" i="12"/>
  <c r="X126" i="12"/>
  <c r="Z126" i="12" s="1"/>
  <c r="N126" i="12"/>
  <c r="L126" i="12"/>
  <c r="B126" i="12"/>
  <c r="X125" i="12"/>
  <c r="T125" i="12"/>
  <c r="Z125" i="12" s="1"/>
  <c r="P125" i="12"/>
  <c r="H125" i="12"/>
  <c r="D125" i="12"/>
  <c r="B125" i="12"/>
  <c r="X124" i="12"/>
  <c r="Z124" i="12" s="1"/>
  <c r="N124" i="12"/>
  <c r="L124" i="12"/>
  <c r="B124" i="12"/>
  <c r="Z123" i="12"/>
  <c r="X123" i="12"/>
  <c r="N123" i="12"/>
  <c r="L123" i="12"/>
  <c r="B123" i="12"/>
  <c r="X122" i="12"/>
  <c r="Z122" i="12" s="1"/>
  <c r="N122" i="12"/>
  <c r="L122" i="12"/>
  <c r="B122" i="12"/>
  <c r="X121" i="12"/>
  <c r="Z121" i="12" s="1"/>
  <c r="N121" i="12"/>
  <c r="L121" i="12"/>
  <c r="B121" i="12"/>
  <c r="T120" i="12"/>
  <c r="P120" i="12"/>
  <c r="X120" i="12" s="1"/>
  <c r="Z120" i="12" s="1"/>
  <c r="H120" i="12"/>
  <c r="D120" i="12"/>
  <c r="L120" i="12" s="1"/>
  <c r="B120" i="12"/>
  <c r="Z119" i="12"/>
  <c r="X119" i="12"/>
  <c r="N119" i="12"/>
  <c r="L119" i="12"/>
  <c r="B119" i="12"/>
  <c r="X118" i="12"/>
  <c r="Z118" i="12" s="1"/>
  <c r="L118" i="12"/>
  <c r="N118" i="12" s="1"/>
  <c r="B118" i="12"/>
  <c r="Z117" i="12"/>
  <c r="X117" i="12"/>
  <c r="N117" i="12"/>
  <c r="L117" i="12"/>
  <c r="B117" i="12"/>
  <c r="Z116" i="12"/>
  <c r="X116" i="12"/>
  <c r="L116" i="12"/>
  <c r="N116" i="12" s="1"/>
  <c r="B116" i="12"/>
  <c r="Z115" i="12"/>
  <c r="X115" i="12"/>
  <c r="T115" i="12"/>
  <c r="P115" i="12"/>
  <c r="H115" i="12"/>
  <c r="D115" i="12"/>
  <c r="B115" i="12"/>
  <c r="X114" i="12"/>
  <c r="Z114" i="12" s="1"/>
  <c r="N114" i="12"/>
  <c r="L114" i="12"/>
  <c r="B114" i="12"/>
  <c r="X113" i="12"/>
  <c r="Z113" i="12" s="1"/>
  <c r="T113" i="12"/>
  <c r="P113" i="12"/>
  <c r="H113" i="12"/>
  <c r="N113" i="12" s="1"/>
  <c r="D113" i="12"/>
  <c r="L113" i="12" s="1"/>
  <c r="B113" i="12"/>
  <c r="X112" i="12"/>
  <c r="Z112" i="12" s="1"/>
  <c r="L112" i="12"/>
  <c r="N112" i="12" s="1"/>
  <c r="B112" i="12"/>
  <c r="T111" i="12"/>
  <c r="Z111" i="12" s="1"/>
  <c r="P111" i="12"/>
  <c r="X111" i="12" s="1"/>
  <c r="H111" i="12"/>
  <c r="D111" i="12"/>
  <c r="L111" i="12" s="1"/>
  <c r="N111" i="12" s="1"/>
  <c r="B111" i="12"/>
  <c r="X110" i="12"/>
  <c r="Z110" i="12" s="1"/>
  <c r="L110" i="12"/>
  <c r="N110" i="12" s="1"/>
  <c r="B110" i="12"/>
  <c r="Z109" i="12"/>
  <c r="T109" i="12"/>
  <c r="P109" i="12"/>
  <c r="X109" i="12" s="1"/>
  <c r="N109" i="12"/>
  <c r="L109" i="12"/>
  <c r="H109" i="12"/>
  <c r="D109" i="12"/>
  <c r="B109" i="12"/>
  <c r="X108" i="12"/>
  <c r="Z108" i="12" s="1"/>
  <c r="L108" i="12"/>
  <c r="N108" i="12" s="1"/>
  <c r="B108" i="12"/>
  <c r="X107" i="12"/>
  <c r="Z107" i="12" s="1"/>
  <c r="T107" i="12"/>
  <c r="P107" i="12"/>
  <c r="L107" i="12"/>
  <c r="H107" i="12"/>
  <c r="N107" i="12" s="1"/>
  <c r="D107" i="12"/>
  <c r="B107" i="12"/>
  <c r="X106" i="12"/>
  <c r="Z106" i="12" s="1"/>
  <c r="L106" i="12"/>
  <c r="N106" i="12" s="1"/>
  <c r="B106" i="12"/>
  <c r="T105" i="12"/>
  <c r="X105" i="12" s="1"/>
  <c r="Z105" i="12" s="1"/>
  <c r="P105" i="12"/>
  <c r="H105" i="12"/>
  <c r="D105" i="12"/>
  <c r="B105" i="12"/>
  <c r="X104" i="12"/>
  <c r="Z104" i="12" s="1"/>
  <c r="N104" i="12"/>
  <c r="L104" i="12"/>
  <c r="B104" i="12"/>
  <c r="Z103" i="12"/>
  <c r="X103" i="12"/>
  <c r="N103" i="12"/>
  <c r="L103" i="12"/>
  <c r="B103" i="12"/>
  <c r="X102" i="12"/>
  <c r="T102" i="12"/>
  <c r="P102" i="12"/>
  <c r="L102" i="12"/>
  <c r="H102" i="12"/>
  <c r="D102" i="12"/>
  <c r="B102" i="12"/>
  <c r="Z101" i="12"/>
  <c r="X101" i="12"/>
  <c r="N101" i="12"/>
  <c r="L101" i="12"/>
  <c r="B101" i="12"/>
  <c r="X100" i="12"/>
  <c r="Z100" i="12" s="1"/>
  <c r="L100" i="12"/>
  <c r="N100" i="12" s="1"/>
  <c r="B100" i="12"/>
  <c r="T99" i="12"/>
  <c r="P99" i="12"/>
  <c r="X99" i="12" s="1"/>
  <c r="Z99" i="12" s="1"/>
  <c r="N99" i="12"/>
  <c r="H99" i="12"/>
  <c r="D99" i="12"/>
  <c r="L99" i="12" s="1"/>
  <c r="B99" i="12"/>
  <c r="X98" i="12"/>
  <c r="Z98" i="12" s="1"/>
  <c r="L98" i="12"/>
  <c r="N98" i="12" s="1"/>
  <c r="B98" i="12"/>
  <c r="Z97" i="12"/>
  <c r="T97" i="12"/>
  <c r="P97" i="12"/>
  <c r="X97" i="12" s="1"/>
  <c r="N97" i="12"/>
  <c r="L97" i="12"/>
  <c r="H97" i="12"/>
  <c r="D97" i="12"/>
  <c r="B97" i="12"/>
  <c r="X96" i="12"/>
  <c r="Z96" i="12" s="1"/>
  <c r="L96" i="12"/>
  <c r="N96" i="12" s="1"/>
  <c r="B96" i="12"/>
  <c r="Z95" i="12"/>
  <c r="X95" i="12"/>
  <c r="T95" i="12"/>
  <c r="P95" i="12"/>
  <c r="L95" i="12"/>
  <c r="N95" i="12" s="1"/>
  <c r="H95" i="12"/>
  <c r="D95" i="12"/>
  <c r="B95" i="12"/>
  <c r="X94" i="12"/>
  <c r="Z94" i="12" s="1"/>
  <c r="N94" i="12"/>
  <c r="L94" i="12"/>
  <c r="B94" i="12"/>
  <c r="T93" i="12"/>
  <c r="P93" i="12"/>
  <c r="H93" i="12"/>
  <c r="D93" i="12"/>
  <c r="L93" i="12" s="1"/>
  <c r="N93" i="12" s="1"/>
  <c r="B93" i="12"/>
  <c r="Z92" i="12"/>
  <c r="X92" i="12"/>
  <c r="N92" i="12"/>
  <c r="L92" i="12"/>
  <c r="B92" i="12"/>
  <c r="Z91" i="12"/>
  <c r="X91" i="12"/>
  <c r="N91" i="12"/>
  <c r="L91" i="12"/>
  <c r="B91" i="12"/>
  <c r="Z90" i="12"/>
  <c r="T90" i="12"/>
  <c r="P90" i="12"/>
  <c r="X90" i="12" s="1"/>
  <c r="L90" i="12"/>
  <c r="H90" i="12"/>
  <c r="N90" i="12" s="1"/>
  <c r="D90" i="12"/>
  <c r="B90" i="12"/>
  <c r="Z89" i="12"/>
  <c r="X89" i="12"/>
  <c r="L89" i="12"/>
  <c r="N89" i="12" s="1"/>
  <c r="B89" i="12"/>
  <c r="Z88" i="12"/>
  <c r="X88" i="12"/>
  <c r="N88" i="12"/>
  <c r="L88" i="12"/>
  <c r="B88" i="12"/>
  <c r="T87" i="12"/>
  <c r="P87" i="12"/>
  <c r="X87" i="12" s="1"/>
  <c r="Z87" i="12" s="1"/>
  <c r="H87" i="12"/>
  <c r="D87" i="12"/>
  <c r="L87" i="12" s="1"/>
  <c r="N87" i="12" s="1"/>
  <c r="B87" i="12"/>
  <c r="Z86" i="12"/>
  <c r="X86" i="12"/>
  <c r="L86" i="12"/>
  <c r="N86" i="12" s="1"/>
  <c r="B86" i="12"/>
  <c r="T85" i="12"/>
  <c r="P85" i="12"/>
  <c r="X85" i="12" s="1"/>
  <c r="Z85" i="12" s="1"/>
  <c r="L85" i="12"/>
  <c r="N85" i="12" s="1"/>
  <c r="H85" i="12"/>
  <c r="D85" i="12"/>
  <c r="B85" i="12"/>
  <c r="Z84" i="12"/>
  <c r="X84" i="12"/>
  <c r="L84" i="12"/>
  <c r="N84" i="12" s="1"/>
  <c r="B84" i="12"/>
  <c r="X83" i="12"/>
  <c r="Z83" i="12" s="1"/>
  <c r="T83" i="12"/>
  <c r="P83" i="12"/>
  <c r="H83" i="12"/>
  <c r="D83" i="12"/>
  <c r="B83" i="12"/>
  <c r="X82" i="12"/>
  <c r="Z82" i="12" s="1"/>
  <c r="N82" i="12"/>
  <c r="L82" i="12"/>
  <c r="B82" i="12"/>
  <c r="T81" i="12"/>
  <c r="P81" i="12"/>
  <c r="H81" i="12"/>
  <c r="D81" i="12"/>
  <c r="L81" i="12" s="1"/>
  <c r="B81" i="12"/>
  <c r="Z80" i="12"/>
  <c r="X80" i="12"/>
  <c r="N80" i="12"/>
  <c r="L80" i="12"/>
  <c r="B80" i="12"/>
  <c r="Z79" i="12"/>
  <c r="X79" i="12"/>
  <c r="N79" i="12"/>
  <c r="L79" i="12"/>
  <c r="B79" i="12"/>
  <c r="X78" i="12"/>
  <c r="Z78" i="12" s="1"/>
  <c r="N78" i="12"/>
  <c r="L78" i="12"/>
  <c r="B78" i="12"/>
  <c r="X77" i="12"/>
  <c r="Z77" i="12" s="1"/>
  <c r="N77" i="12"/>
  <c r="L77" i="12"/>
  <c r="B77" i="12"/>
  <c r="Z76" i="12"/>
  <c r="X76" i="12"/>
  <c r="N76" i="12"/>
  <c r="L76" i="12"/>
  <c r="B76" i="12"/>
  <c r="X75" i="12"/>
  <c r="Z75" i="12" s="1"/>
  <c r="N75" i="12"/>
  <c r="L75" i="12"/>
  <c r="B75" i="12"/>
  <c r="Z74" i="12"/>
  <c r="X74" i="12"/>
  <c r="L74" i="12"/>
  <c r="N74" i="12" s="1"/>
  <c r="B74" i="12"/>
  <c r="Z73" i="12"/>
  <c r="X73" i="12"/>
  <c r="N73" i="12"/>
  <c r="L73" i="12"/>
  <c r="B73" i="12"/>
  <c r="X72" i="12"/>
  <c r="Z72" i="12" s="1"/>
  <c r="N72" i="12"/>
  <c r="L72" i="12"/>
  <c r="B72" i="12"/>
  <c r="Z71" i="12"/>
  <c r="X71" i="12"/>
  <c r="L71" i="12"/>
  <c r="N71" i="12" s="1"/>
  <c r="B71" i="12"/>
  <c r="T70" i="12"/>
  <c r="P70" i="12"/>
  <c r="X70" i="12" s="1"/>
  <c r="Z70" i="12" s="1"/>
  <c r="L70" i="12"/>
  <c r="H70" i="12"/>
  <c r="N70" i="12" s="1"/>
  <c r="D70" i="12"/>
  <c r="B70" i="12"/>
  <c r="Z69" i="12"/>
  <c r="X69" i="12"/>
  <c r="L69" i="12"/>
  <c r="N69" i="12" s="1"/>
  <c r="B69" i="12"/>
  <c r="X68" i="12"/>
  <c r="Z68" i="12" s="1"/>
  <c r="N68" i="12"/>
  <c r="L68" i="12"/>
  <c r="B68" i="12"/>
  <c r="Z67" i="12"/>
  <c r="X67" i="12"/>
  <c r="L67" i="12"/>
  <c r="N67" i="12" s="1"/>
  <c r="B67" i="12"/>
  <c r="Z66" i="12"/>
  <c r="X66" i="12"/>
  <c r="N66" i="12"/>
  <c r="L66" i="12"/>
  <c r="B66" i="12"/>
  <c r="Z65" i="12"/>
  <c r="X65" i="12"/>
  <c r="N65" i="12"/>
  <c r="L65" i="12"/>
  <c r="B65" i="12"/>
  <c r="Z64" i="12"/>
  <c r="X64" i="12"/>
  <c r="L64" i="12"/>
  <c r="N64" i="12" s="1"/>
  <c r="B64" i="12"/>
  <c r="X63" i="12"/>
  <c r="Z63" i="12" s="1"/>
  <c r="N63" i="12"/>
  <c r="L63" i="12"/>
  <c r="B63" i="12"/>
  <c r="Z62" i="12"/>
  <c r="X62" i="12"/>
  <c r="L62" i="12"/>
  <c r="N62" i="12" s="1"/>
  <c r="B62" i="12"/>
  <c r="Z61" i="12"/>
  <c r="X61" i="12"/>
  <c r="L61" i="12"/>
  <c r="N61" i="12" s="1"/>
  <c r="B61" i="12"/>
  <c r="X60" i="12"/>
  <c r="Z60" i="12" s="1"/>
  <c r="N60" i="12"/>
  <c r="L60" i="12"/>
  <c r="B60" i="12"/>
  <c r="T59" i="12"/>
  <c r="P59" i="12"/>
  <c r="X59" i="12" s="1"/>
  <c r="Z59" i="12" s="1"/>
  <c r="H59" i="12"/>
  <c r="D59" i="12"/>
  <c r="L59" i="12" s="1"/>
  <c r="N59" i="12" s="1"/>
  <c r="B59" i="12"/>
  <c r="T58" i="12" a="1"/>
  <c r="T58" i="12" s="1"/>
  <c r="P58" i="12" a="1"/>
  <c r="P58" i="12" s="1"/>
  <c r="H58" i="12" a="1"/>
  <c r="H58" i="12" s="1"/>
  <c r="D58" i="12" a="1"/>
  <c r="D58" i="12" s="1"/>
  <c r="T56" i="12"/>
  <c r="Z54" i="12"/>
  <c r="X54" i="12"/>
  <c r="V54" i="12"/>
  <c r="N54" i="12"/>
  <c r="L54" i="12"/>
  <c r="B54" i="12"/>
  <c r="Z53" i="12"/>
  <c r="X53" i="12"/>
  <c r="N53" i="12"/>
  <c r="L53" i="12"/>
  <c r="B53" i="12"/>
  <c r="Z52" i="12"/>
  <c r="X52" i="12"/>
  <c r="N52" i="12"/>
  <c r="L52" i="12"/>
  <c r="B52" i="12"/>
  <c r="Z51" i="12"/>
  <c r="X51" i="12"/>
  <c r="N51" i="12"/>
  <c r="L51" i="12"/>
  <c r="B51" i="12"/>
  <c r="Z50" i="12"/>
  <c r="X50" i="12"/>
  <c r="N50" i="12"/>
  <c r="L50" i="12"/>
  <c r="B50" i="12"/>
  <c r="Z49" i="12"/>
  <c r="X49" i="12"/>
  <c r="V49" i="12"/>
  <c r="N49" i="12"/>
  <c r="L49" i="12"/>
  <c r="B49" i="12"/>
  <c r="Z48" i="12"/>
  <c r="X48" i="12"/>
  <c r="N48" i="12"/>
  <c r="L48" i="12"/>
  <c r="B48" i="12"/>
  <c r="Z47" i="12"/>
  <c r="X47" i="12"/>
  <c r="N47" i="12"/>
  <c r="L47" i="12"/>
  <c r="B47" i="12"/>
  <c r="Z46" i="12"/>
  <c r="X46" i="12"/>
  <c r="V46" i="12"/>
  <c r="N46" i="12"/>
  <c r="L46" i="12"/>
  <c r="B46" i="12"/>
  <c r="Z45" i="12"/>
  <c r="X45" i="12"/>
  <c r="N45" i="12"/>
  <c r="L45" i="12"/>
  <c r="J45" i="12"/>
  <c r="B45" i="12"/>
  <c r="Z44" i="12"/>
  <c r="X44" i="12"/>
  <c r="N44" i="12"/>
  <c r="L44" i="12"/>
  <c r="B44" i="12"/>
  <c r="Z43" i="12"/>
  <c r="X43" i="12"/>
  <c r="N43" i="12"/>
  <c r="L43" i="12"/>
  <c r="B43" i="12"/>
  <c r="Z42" i="12"/>
  <c r="X42" i="12"/>
  <c r="N42" i="12"/>
  <c r="L42" i="12"/>
  <c r="J42" i="12"/>
  <c r="B42" i="12"/>
  <c r="Z41" i="12"/>
  <c r="X41" i="12"/>
  <c r="V41" i="12"/>
  <c r="N41" i="12"/>
  <c r="L41" i="12"/>
  <c r="B41" i="12"/>
  <c r="Z40" i="12"/>
  <c r="X40" i="12"/>
  <c r="N40" i="12"/>
  <c r="L40" i="12"/>
  <c r="B40" i="12"/>
  <c r="Z39" i="12"/>
  <c r="X39" i="12"/>
  <c r="N39" i="12"/>
  <c r="L39" i="12"/>
  <c r="B39" i="12"/>
  <c r="Z38" i="12"/>
  <c r="X38" i="12"/>
  <c r="V38" i="12"/>
  <c r="N38" i="12"/>
  <c r="L38" i="12"/>
  <c r="B38" i="12"/>
  <c r="Z37" i="12"/>
  <c r="X37" i="12"/>
  <c r="N37" i="12"/>
  <c r="L37" i="12"/>
  <c r="J37" i="12"/>
  <c r="B37" i="12"/>
  <c r="Z36" i="12"/>
  <c r="X36" i="12"/>
  <c r="N36" i="12"/>
  <c r="L36" i="12"/>
  <c r="B36" i="12"/>
  <c r="Z35" i="12"/>
  <c r="X35" i="12"/>
  <c r="N35" i="12"/>
  <c r="L35" i="12"/>
  <c r="B35" i="12"/>
  <c r="Z34" i="12"/>
  <c r="X34" i="12"/>
  <c r="N34" i="12"/>
  <c r="L34" i="12"/>
  <c r="J34" i="12"/>
  <c r="B34" i="12"/>
  <c r="Z33" i="12"/>
  <c r="X33" i="12"/>
  <c r="V33" i="12"/>
  <c r="N33" i="12"/>
  <c r="L33" i="12"/>
  <c r="B33" i="12"/>
  <c r="Z32" i="12"/>
  <c r="X32" i="12"/>
  <c r="N32" i="12"/>
  <c r="L32" i="12"/>
  <c r="B32" i="12"/>
  <c r="Z31" i="12"/>
  <c r="X31" i="12"/>
  <c r="N31" i="12"/>
  <c r="L31" i="12"/>
  <c r="B31" i="12"/>
  <c r="Z30" i="12"/>
  <c r="X30" i="12"/>
  <c r="V30" i="12"/>
  <c r="N30" i="12"/>
  <c r="L30" i="12"/>
  <c r="B30" i="12"/>
  <c r="Z29" i="12"/>
  <c r="X29" i="12"/>
  <c r="N29" i="12"/>
  <c r="L29" i="12"/>
  <c r="J29" i="12"/>
  <c r="B29" i="12"/>
  <c r="Z28" i="12"/>
  <c r="X28" i="12"/>
  <c r="N28" i="12"/>
  <c r="L28" i="12"/>
  <c r="B28" i="12"/>
  <c r="Z27" i="12"/>
  <c r="X27" i="12"/>
  <c r="N27" i="12"/>
  <c r="L27" i="12"/>
  <c r="B27" i="12"/>
  <c r="Z26" i="12"/>
  <c r="X26" i="12"/>
  <c r="L26" i="12"/>
  <c r="N26" i="12" s="1"/>
  <c r="J26" i="12"/>
  <c r="B26" i="12"/>
  <c r="V25" i="12"/>
  <c r="T25" i="12"/>
  <c r="P25" i="12"/>
  <c r="X25" i="12" s="1"/>
  <c r="Z25" i="12" s="1"/>
  <c r="L25" i="12"/>
  <c r="N25" i="12" s="1"/>
  <c r="H25" i="12"/>
  <c r="D25" i="12"/>
  <c r="Z23" i="12"/>
  <c r="X23" i="12"/>
  <c r="P23" i="12"/>
  <c r="N23" i="12"/>
  <c r="L23" i="12"/>
  <c r="D23" i="12"/>
  <c r="B23" i="12"/>
  <c r="Z22" i="12"/>
  <c r="P22" i="12"/>
  <c r="X22" i="12" s="1"/>
  <c r="N22" i="12"/>
  <c r="L22" i="12"/>
  <c r="D22" i="12"/>
  <c r="B22" i="12"/>
  <c r="Z21" i="12"/>
  <c r="X21" i="12"/>
  <c r="P21" i="12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L17" i="12"/>
  <c r="D17" i="12"/>
  <c r="B17" i="12"/>
  <c r="P16" i="12"/>
  <c r="X16" i="12" s="1"/>
  <c r="Z16" i="12" s="1"/>
  <c r="D16" i="12"/>
  <c r="L16" i="12" s="1"/>
  <c r="N16" i="12" s="1"/>
  <c r="B16" i="12"/>
  <c r="Z15" i="12"/>
  <c r="X15" i="12"/>
  <c r="P15" i="12"/>
  <c r="N15" i="12"/>
  <c r="L15" i="12"/>
  <c r="D15" i="12"/>
  <c r="B15" i="12"/>
  <c r="Z14" i="12"/>
  <c r="P14" i="12"/>
  <c r="X14" i="12" s="1"/>
  <c r="N14" i="12"/>
  <c r="L14" i="12"/>
  <c r="D14" i="12"/>
  <c r="B14" i="12"/>
  <c r="Z13" i="12"/>
  <c r="X13" i="12"/>
  <c r="P13" i="12"/>
  <c r="D13" i="12"/>
  <c r="L13" i="12" s="1"/>
  <c r="N13" i="12" s="1"/>
  <c r="B13" i="12"/>
  <c r="T12" i="12"/>
  <c r="V151" i="12" s="1"/>
  <c r="H12" i="12"/>
  <c r="J132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P13" i="11"/>
  <c r="H13" i="11"/>
  <c r="N13" i="11" s="1"/>
  <c r="D13" i="11"/>
  <c r="B13" i="11"/>
  <c r="T12" i="11"/>
  <c r="V20" i="11" s="1"/>
  <c r="P12" i="11"/>
  <c r="R22" i="11" s="1"/>
  <c r="H12" i="11"/>
  <c r="J24" i="11" s="1"/>
  <c r="D12" i="11"/>
  <c r="F20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X13" i="10" s="1"/>
  <c r="H13" i="10"/>
  <c r="N13" i="10" s="1"/>
  <c r="D13" i="10"/>
  <c r="B13" i="10"/>
  <c r="T12" i="10"/>
  <c r="V34" i="10" s="1"/>
  <c r="P12" i="10"/>
  <c r="R36" i="10" s="1"/>
  <c r="H12" i="10"/>
  <c r="D12" i="10"/>
  <c r="F34" i="10" s="1"/>
  <c r="D5" i="10"/>
  <c r="D4" i="10"/>
  <c r="Z99" i="9"/>
  <c r="X99" i="9"/>
  <c r="N99" i="9"/>
  <c r="L99" i="9"/>
  <c r="Z95" i="9"/>
  <c r="T95" i="9"/>
  <c r="P95" i="9"/>
  <c r="X95" i="9" s="1"/>
  <c r="L95" i="9"/>
  <c r="H95" i="9"/>
  <c r="N95" i="9" s="1"/>
  <c r="D95" i="9"/>
  <c r="X93" i="9"/>
  <c r="Z93" i="9" s="1"/>
  <c r="N93" i="9"/>
  <c r="L93" i="9"/>
  <c r="B93" i="9"/>
  <c r="Z92" i="9"/>
  <c r="X92" i="9"/>
  <c r="N92" i="9"/>
  <c r="L92" i="9"/>
  <c r="B92" i="9"/>
  <c r="X91" i="9"/>
  <c r="T91" i="9"/>
  <c r="Z91" i="9" s="1"/>
  <c r="P91" i="9"/>
  <c r="L91" i="9"/>
  <c r="H91" i="9"/>
  <c r="N91" i="9" s="1"/>
  <c r="D91" i="9"/>
  <c r="B91" i="9"/>
  <c r="Z90" i="9"/>
  <c r="X90" i="9"/>
  <c r="N90" i="9"/>
  <c r="L90" i="9"/>
  <c r="B90" i="9"/>
  <c r="X89" i="9"/>
  <c r="T89" i="9"/>
  <c r="Z89" i="9" s="1"/>
  <c r="P89" i="9"/>
  <c r="H89" i="9"/>
  <c r="D89" i="9"/>
  <c r="L89" i="9" s="1"/>
  <c r="N89" i="9" s="1"/>
  <c r="B89" i="9"/>
  <c r="X88" i="9"/>
  <c r="Z88" i="9" s="1"/>
  <c r="N88" i="9"/>
  <c r="L88" i="9"/>
  <c r="B88" i="9"/>
  <c r="Z87" i="9"/>
  <c r="X87" i="9"/>
  <c r="L87" i="9"/>
  <c r="N87" i="9" s="1"/>
  <c r="B87" i="9"/>
  <c r="T86" i="9"/>
  <c r="P86" i="9"/>
  <c r="X86" i="9" s="1"/>
  <c r="Z86" i="9" s="1"/>
  <c r="L86" i="9"/>
  <c r="N86" i="9" s="1"/>
  <c r="H86" i="9"/>
  <c r="D86" i="9"/>
  <c r="B86" i="9"/>
  <c r="Z85" i="9"/>
  <c r="X85" i="9"/>
  <c r="N85" i="9"/>
  <c r="L85" i="9"/>
  <c r="B85" i="9"/>
  <c r="X84" i="9"/>
  <c r="Z84" i="9" s="1"/>
  <c r="N84" i="9"/>
  <c r="L84" i="9"/>
  <c r="B84" i="9"/>
  <c r="Z83" i="9"/>
  <c r="X83" i="9"/>
  <c r="L83" i="9"/>
  <c r="N83" i="9" s="1"/>
  <c r="B83" i="9"/>
  <c r="Z82" i="9"/>
  <c r="X82" i="9"/>
  <c r="N82" i="9"/>
  <c r="L82" i="9"/>
  <c r="B82" i="9"/>
  <c r="Z81" i="9"/>
  <c r="X81" i="9"/>
  <c r="N81" i="9"/>
  <c r="L81" i="9"/>
  <c r="B81" i="9"/>
  <c r="Z80" i="9"/>
  <c r="X80" i="9"/>
  <c r="L80" i="9"/>
  <c r="N80" i="9" s="1"/>
  <c r="B80" i="9"/>
  <c r="X79" i="9"/>
  <c r="T79" i="9"/>
  <c r="Z79" i="9" s="1"/>
  <c r="P79" i="9"/>
  <c r="L79" i="9"/>
  <c r="H79" i="9"/>
  <c r="N79" i="9" s="1"/>
  <c r="D79" i="9"/>
  <c r="B79" i="9"/>
  <c r="Z78" i="9"/>
  <c r="X78" i="9"/>
  <c r="N78" i="9"/>
  <c r="L78" i="9"/>
  <c r="B78" i="9"/>
  <c r="X77" i="9"/>
  <c r="Z77" i="9" s="1"/>
  <c r="N77" i="9"/>
  <c r="L77" i="9"/>
  <c r="B77" i="9"/>
  <c r="T76" i="9"/>
  <c r="P76" i="9"/>
  <c r="X76" i="9" s="1"/>
  <c r="Z76" i="9" s="1"/>
  <c r="H76" i="9"/>
  <c r="D76" i="9"/>
  <c r="L76" i="9" s="1"/>
  <c r="N76" i="9" s="1"/>
  <c r="B76" i="9"/>
  <c r="Z75" i="9"/>
  <c r="X75" i="9"/>
  <c r="L75" i="9"/>
  <c r="N75" i="9" s="1"/>
  <c r="B75" i="9"/>
  <c r="Z74" i="9"/>
  <c r="X74" i="9"/>
  <c r="N74" i="9"/>
  <c r="L74" i="9"/>
  <c r="B74" i="9"/>
  <c r="X73" i="9"/>
  <c r="T73" i="9"/>
  <c r="Z73" i="9" s="1"/>
  <c r="P73" i="9"/>
  <c r="H73" i="9"/>
  <c r="D73" i="9"/>
  <c r="L73" i="9" s="1"/>
  <c r="N73" i="9" s="1"/>
  <c r="B73" i="9"/>
  <c r="X72" i="9"/>
  <c r="Z72" i="9" s="1"/>
  <c r="N72" i="9"/>
  <c r="L72" i="9"/>
  <c r="B72" i="9"/>
  <c r="Z71" i="9"/>
  <c r="X71" i="9"/>
  <c r="L71" i="9"/>
  <c r="N71" i="9" s="1"/>
  <c r="B71" i="9"/>
  <c r="Z70" i="9"/>
  <c r="X70" i="9"/>
  <c r="N70" i="9"/>
  <c r="L70" i="9"/>
  <c r="B70" i="9"/>
  <c r="X69" i="9"/>
  <c r="Z69" i="9" s="1"/>
  <c r="N69" i="9"/>
  <c r="L69" i="9"/>
  <c r="B69" i="9"/>
  <c r="T68" i="9"/>
  <c r="P68" i="9"/>
  <c r="X68" i="9" s="1"/>
  <c r="Z68" i="9" s="1"/>
  <c r="H68" i="9"/>
  <c r="D68" i="9"/>
  <c r="L68" i="9" s="1"/>
  <c r="N68" i="9" s="1"/>
  <c r="B68" i="9"/>
  <c r="Z67" i="9"/>
  <c r="X67" i="9"/>
  <c r="L67" i="9"/>
  <c r="N67" i="9" s="1"/>
  <c r="B67" i="9"/>
  <c r="Z66" i="9"/>
  <c r="X66" i="9"/>
  <c r="N66" i="9"/>
  <c r="L66" i="9"/>
  <c r="F66" i="9"/>
  <c r="B66" i="9"/>
  <c r="X65" i="9"/>
  <c r="Z65" i="9" s="1"/>
  <c r="N65" i="9"/>
  <c r="L65" i="9"/>
  <c r="B65" i="9"/>
  <c r="Z64" i="9"/>
  <c r="X64" i="9"/>
  <c r="L64" i="9"/>
  <c r="N64" i="9" s="1"/>
  <c r="B64" i="9"/>
  <c r="X63" i="9"/>
  <c r="T63" i="9"/>
  <c r="Z63" i="9" s="1"/>
  <c r="P63" i="9"/>
  <c r="L63" i="9"/>
  <c r="H63" i="9"/>
  <c r="N63" i="9" s="1"/>
  <c r="D63" i="9"/>
  <c r="B63" i="9"/>
  <c r="Z62" i="9"/>
  <c r="X62" i="9"/>
  <c r="N62" i="9"/>
  <c r="L62" i="9"/>
  <c r="F62" i="9"/>
  <c r="B62" i="9"/>
  <c r="X61" i="9"/>
  <c r="T61" i="9"/>
  <c r="Z61" i="9" s="1"/>
  <c r="P61" i="9"/>
  <c r="H61" i="9"/>
  <c r="D61" i="9"/>
  <c r="L61" i="9" s="1"/>
  <c r="N61" i="9" s="1"/>
  <c r="B61" i="9"/>
  <c r="X60" i="9"/>
  <c r="Z60" i="9" s="1"/>
  <c r="N60" i="9"/>
  <c r="L60" i="9"/>
  <c r="B60" i="9"/>
  <c r="T59" i="9"/>
  <c r="P59" i="9"/>
  <c r="X59" i="9" s="1"/>
  <c r="Z59" i="9" s="1"/>
  <c r="N59" i="9"/>
  <c r="H59" i="9"/>
  <c r="D59" i="9"/>
  <c r="L59" i="9" s="1"/>
  <c r="B59" i="9"/>
  <c r="Z58" i="9"/>
  <c r="X58" i="9"/>
  <c r="N58" i="9"/>
  <c r="L58" i="9"/>
  <c r="B58" i="9"/>
  <c r="V57" i="9"/>
  <c r="T57" i="9"/>
  <c r="P57" i="9"/>
  <c r="X57" i="9" s="1"/>
  <c r="Z57" i="9" s="1"/>
  <c r="L57" i="9"/>
  <c r="H57" i="9"/>
  <c r="N57" i="9" s="1"/>
  <c r="F57" i="9"/>
  <c r="D57" i="9"/>
  <c r="B57" i="9"/>
  <c r="Z56" i="9"/>
  <c r="X56" i="9"/>
  <c r="L56" i="9"/>
  <c r="N56" i="9" s="1"/>
  <c r="B56" i="9"/>
  <c r="X55" i="9"/>
  <c r="T55" i="9"/>
  <c r="Z55" i="9" s="1"/>
  <c r="P55" i="9"/>
  <c r="L55" i="9"/>
  <c r="H55" i="9"/>
  <c r="N55" i="9" s="1"/>
  <c r="D55" i="9"/>
  <c r="B55" i="9"/>
  <c r="Z54" i="9"/>
  <c r="X54" i="9"/>
  <c r="N54" i="9"/>
  <c r="L54" i="9"/>
  <c r="F54" i="9"/>
  <c r="B54" i="9"/>
  <c r="X53" i="9"/>
  <c r="T53" i="9"/>
  <c r="Z53" i="9" s="1"/>
  <c r="P53" i="9"/>
  <c r="H53" i="9"/>
  <c r="D53" i="9"/>
  <c r="L53" i="9" s="1"/>
  <c r="N53" i="9" s="1"/>
  <c r="B53" i="9"/>
  <c r="X52" i="9"/>
  <c r="Z52" i="9" s="1"/>
  <c r="N52" i="9"/>
  <c r="L52" i="9"/>
  <c r="B52" i="9"/>
  <c r="T51" i="9"/>
  <c r="P51" i="9"/>
  <c r="X51" i="9" s="1"/>
  <c r="Z51" i="9" s="1"/>
  <c r="H51" i="9"/>
  <c r="D51" i="9"/>
  <c r="L51" i="9" s="1"/>
  <c r="N51" i="9" s="1"/>
  <c r="B51" i="9"/>
  <c r="Z50" i="9"/>
  <c r="X50" i="9"/>
  <c r="N50" i="9"/>
  <c r="L50" i="9"/>
  <c r="B50" i="9"/>
  <c r="X49" i="9"/>
  <c r="Z49" i="9" s="1"/>
  <c r="V49" i="9"/>
  <c r="L49" i="9"/>
  <c r="N49" i="9" s="1"/>
  <c r="B49" i="9"/>
  <c r="X48" i="9"/>
  <c r="Z48" i="9" s="1"/>
  <c r="T48" i="9"/>
  <c r="P48" i="9"/>
  <c r="H48" i="9"/>
  <c r="D48" i="9"/>
  <c r="B48" i="9"/>
  <c r="X47" i="9"/>
  <c r="Z47" i="9" s="1"/>
  <c r="N47" i="9"/>
  <c r="L47" i="9"/>
  <c r="F47" i="9"/>
  <c r="B47" i="9"/>
  <c r="T46" i="9"/>
  <c r="P46" i="9"/>
  <c r="H46" i="9"/>
  <c r="D46" i="9"/>
  <c r="L46" i="9" s="1"/>
  <c r="N46" i="9" s="1"/>
  <c r="B46" i="9"/>
  <c r="X45" i="9"/>
  <c r="Z45" i="9" s="1"/>
  <c r="N45" i="9"/>
  <c r="L45" i="9"/>
  <c r="B45" i="9"/>
  <c r="T44" i="9"/>
  <c r="P44" i="9"/>
  <c r="X44" i="9" s="1"/>
  <c r="Z44" i="9" s="1"/>
  <c r="H44" i="9"/>
  <c r="D44" i="9"/>
  <c r="L44" i="9" s="1"/>
  <c r="N44" i="9" s="1"/>
  <c r="B44" i="9"/>
  <c r="Z43" i="9"/>
  <c r="X43" i="9"/>
  <c r="L43" i="9"/>
  <c r="N43" i="9" s="1"/>
  <c r="B43" i="9"/>
  <c r="V42" i="9"/>
  <c r="T42" i="9"/>
  <c r="P42" i="9"/>
  <c r="X42" i="9" s="1"/>
  <c r="Z42" i="9" s="1"/>
  <c r="L42" i="9"/>
  <c r="N42" i="9" s="1"/>
  <c r="H42" i="9"/>
  <c r="F42" i="9"/>
  <c r="D42" i="9"/>
  <c r="B42" i="9"/>
  <c r="Z41" i="9"/>
  <c r="X41" i="9"/>
  <c r="V41" i="9"/>
  <c r="N41" i="9"/>
  <c r="L41" i="9"/>
  <c r="B41" i="9"/>
  <c r="Z40" i="9"/>
  <c r="X40" i="9"/>
  <c r="N40" i="9"/>
  <c r="L40" i="9"/>
  <c r="B40" i="9"/>
  <c r="Z39" i="9"/>
  <c r="X39" i="9"/>
  <c r="L39" i="9"/>
  <c r="N39" i="9" s="1"/>
  <c r="B39" i="9"/>
  <c r="Z38" i="9"/>
  <c r="X38" i="9"/>
  <c r="V38" i="9"/>
  <c r="N38" i="9"/>
  <c r="L38" i="9"/>
  <c r="F38" i="9"/>
  <c r="B38" i="9"/>
  <c r="Z37" i="9"/>
  <c r="X37" i="9"/>
  <c r="N37" i="9"/>
  <c r="L37" i="9"/>
  <c r="B37" i="9"/>
  <c r="Z36" i="9"/>
  <c r="X36" i="9"/>
  <c r="L36" i="9"/>
  <c r="N36" i="9" s="1"/>
  <c r="B36" i="9"/>
  <c r="X35" i="9"/>
  <c r="Z35" i="9" s="1"/>
  <c r="N35" i="9"/>
  <c r="L35" i="9"/>
  <c r="F35" i="9"/>
  <c r="B35" i="9"/>
  <c r="Z34" i="9"/>
  <c r="X34" i="9"/>
  <c r="N34" i="9"/>
  <c r="L34" i="9"/>
  <c r="B34" i="9"/>
  <c r="Z33" i="9"/>
  <c r="X33" i="9"/>
  <c r="V33" i="9"/>
  <c r="L33" i="9"/>
  <c r="N33" i="9" s="1"/>
  <c r="B33" i="9"/>
  <c r="X32" i="9"/>
  <c r="Z32" i="9" s="1"/>
  <c r="N32" i="9"/>
  <c r="L32" i="9"/>
  <c r="B32" i="9"/>
  <c r="T31" i="9"/>
  <c r="P31" i="9"/>
  <c r="X31" i="9" s="1"/>
  <c r="Z31" i="9" s="1"/>
  <c r="H31" i="9"/>
  <c r="D31" i="9"/>
  <c r="L31" i="9" s="1"/>
  <c r="N31" i="9" s="1"/>
  <c r="B31" i="9"/>
  <c r="Z30" i="9"/>
  <c r="X30" i="9"/>
  <c r="N30" i="9"/>
  <c r="L30" i="9"/>
  <c r="B30" i="9"/>
  <c r="Z29" i="9"/>
  <c r="X29" i="9"/>
  <c r="V29" i="9"/>
  <c r="L29" i="9"/>
  <c r="N29" i="9" s="1"/>
  <c r="B29" i="9"/>
  <c r="X28" i="9"/>
  <c r="Z28" i="9" s="1"/>
  <c r="N28" i="9"/>
  <c r="L28" i="9"/>
  <c r="B28" i="9"/>
  <c r="Z27" i="9"/>
  <c r="X27" i="9"/>
  <c r="L27" i="9"/>
  <c r="N27" i="9" s="1"/>
  <c r="B27" i="9"/>
  <c r="Z26" i="9"/>
  <c r="X26" i="9"/>
  <c r="V26" i="9"/>
  <c r="N26" i="9"/>
  <c r="L26" i="9"/>
  <c r="F26" i="9"/>
  <c r="B26" i="9"/>
  <c r="X25" i="9"/>
  <c r="Z25" i="9" s="1"/>
  <c r="N25" i="9"/>
  <c r="L25" i="9"/>
  <c r="B25" i="9"/>
  <c r="Z24" i="9"/>
  <c r="X24" i="9"/>
  <c r="L24" i="9"/>
  <c r="N24" i="9" s="1"/>
  <c r="B24" i="9"/>
  <c r="X23" i="9"/>
  <c r="Z23" i="9" s="1"/>
  <c r="N23" i="9"/>
  <c r="L23" i="9"/>
  <c r="F23" i="9"/>
  <c r="B23" i="9"/>
  <c r="Z22" i="9"/>
  <c r="X22" i="9"/>
  <c r="N22" i="9"/>
  <c r="L22" i="9"/>
  <c r="B22" i="9"/>
  <c r="Z21" i="9"/>
  <c r="X21" i="9"/>
  <c r="V21" i="9"/>
  <c r="L21" i="9"/>
  <c r="N21" i="9" s="1"/>
  <c r="F21" i="9"/>
  <c r="B21" i="9"/>
  <c r="X20" i="9"/>
  <c r="Z20" i="9" s="1"/>
  <c r="N20" i="9"/>
  <c r="L20" i="9"/>
  <c r="F20" i="9"/>
  <c r="B20" i="9"/>
  <c r="T19" i="9"/>
  <c r="P19" i="9"/>
  <c r="X19" i="9" s="1"/>
  <c r="Z19" i="9" s="1"/>
  <c r="H19" i="9"/>
  <c r="D19" i="9"/>
  <c r="L19" i="9" s="1"/>
  <c r="N19" i="9" s="1"/>
  <c r="B19" i="9"/>
  <c r="T18" i="9" a="1"/>
  <c r="T18" i="9" s="1"/>
  <c r="P18" i="9" a="1"/>
  <c r="P18" i="9" s="1"/>
  <c r="H18" i="9" a="1"/>
  <c r="H18" i="9" s="1"/>
  <c r="D18" i="9" a="1"/>
  <c r="D18" i="9" s="1"/>
  <c r="T16" i="9"/>
  <c r="F16" i="9"/>
  <c r="D16" i="9"/>
  <c r="V14" i="9"/>
  <c r="T14" i="9"/>
  <c r="Z14" i="9" s="1"/>
  <c r="P14" i="9"/>
  <c r="X14" i="9" s="1"/>
  <c r="N14" i="9"/>
  <c r="L14" i="9"/>
  <c r="H14" i="9"/>
  <c r="F14" i="9"/>
  <c r="D14" i="9"/>
  <c r="Z12" i="9"/>
  <c r="T12" i="9"/>
  <c r="V58" i="9" s="1"/>
  <c r="P12" i="9"/>
  <c r="R76" i="9" s="1"/>
  <c r="H12" i="9"/>
  <c r="J90" i="9" s="1"/>
  <c r="D12" i="9"/>
  <c r="F87" i="9" s="1"/>
  <c r="D4" i="9"/>
  <c r="B39" i="8"/>
  <c r="B38" i="8"/>
  <c r="T34" i="8"/>
  <c r="P34" i="8"/>
  <c r="H34" i="8"/>
  <c r="N34" i="8" s="1"/>
  <c r="D34" i="8"/>
  <c r="L34" i="8" s="1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L29" i="8" s="1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P13" i="8"/>
  <c r="H13" i="8"/>
  <c r="N13" i="8" s="1"/>
  <c r="D13" i="8"/>
  <c r="B13" i="8"/>
  <c r="T12" i="8"/>
  <c r="V24" i="8" s="1"/>
  <c r="P12" i="8"/>
  <c r="R20" i="8" s="1"/>
  <c r="H12" i="8"/>
  <c r="J18" i="8" s="1"/>
  <c r="D12" i="8"/>
  <c r="F24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4" i="7" s="1"/>
  <c r="P12" i="7"/>
  <c r="R20" i="7" s="1"/>
  <c r="H12" i="7"/>
  <c r="J21" i="7" s="1"/>
  <c r="D12" i="7"/>
  <c r="F34" i="7" s="1"/>
  <c r="D5" i="7"/>
  <c r="D4" i="7"/>
  <c r="J31" i="6"/>
  <c r="X29" i="6"/>
  <c r="T29" i="6"/>
  <c r="Z29" i="6" s="1"/>
  <c r="R29" i="6"/>
  <c r="P29" i="6"/>
  <c r="L29" i="6"/>
  <c r="J29" i="6"/>
  <c r="H29" i="6"/>
  <c r="N29" i="6" s="1"/>
  <c r="D29" i="6"/>
  <c r="T28" i="6"/>
  <c r="P28" i="6"/>
  <c r="X28" i="6" s="1"/>
  <c r="Z28" i="6" s="1"/>
  <c r="J28" i="6"/>
  <c r="H28" i="6"/>
  <c r="D28" i="6"/>
  <c r="L28" i="6" s="1"/>
  <c r="N28" i="6" s="1"/>
  <c r="R26" i="6"/>
  <c r="J26" i="6"/>
  <c r="Z24" i="6"/>
  <c r="X24" i="6"/>
  <c r="R24" i="6"/>
  <c r="N24" i="6"/>
  <c r="L24" i="6"/>
  <c r="J24" i="6"/>
  <c r="J22" i="6"/>
  <c r="X20" i="6"/>
  <c r="T20" i="6"/>
  <c r="Z20" i="6" s="1"/>
  <c r="R20" i="6"/>
  <c r="P20" i="6"/>
  <c r="L20" i="6"/>
  <c r="J20" i="6"/>
  <c r="H20" i="6"/>
  <c r="N20" i="6" s="1"/>
  <c r="D20" i="6"/>
  <c r="Z18" i="6"/>
  <c r="T18" i="6"/>
  <c r="P18" i="6"/>
  <c r="X18" i="6" s="1"/>
  <c r="N18" i="6"/>
  <c r="J18" i="6"/>
  <c r="H18" i="6"/>
  <c r="D18" i="6"/>
  <c r="L18" i="6" s="1"/>
  <c r="R16" i="6"/>
  <c r="J16" i="6"/>
  <c r="H16" i="6"/>
  <c r="H22" i="6" s="1"/>
  <c r="Z14" i="6"/>
  <c r="T14" i="6"/>
  <c r="P14" i="6"/>
  <c r="X14" i="6" s="1"/>
  <c r="N14" i="6"/>
  <c r="J14" i="6"/>
  <c r="H14" i="6"/>
  <c r="D14" i="6"/>
  <c r="L14" i="6" s="1"/>
  <c r="X12" i="6"/>
  <c r="T12" i="6"/>
  <c r="T16" i="6" s="1"/>
  <c r="P12" i="6"/>
  <c r="P16" i="6" s="1"/>
  <c r="N12" i="6"/>
  <c r="H12" i="6"/>
  <c r="D12" i="6"/>
  <c r="F24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1" i="5" s="1"/>
  <c r="P12" i="5"/>
  <c r="H12" i="5"/>
  <c r="J36" i="5" s="1"/>
  <c r="D12" i="5"/>
  <c r="F21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15" i="4" s="1"/>
  <c r="P12" i="4"/>
  <c r="R20" i="4" s="1"/>
  <c r="H12" i="4"/>
  <c r="J18" i="4" s="1"/>
  <c r="D12" i="4"/>
  <c r="D5" i="4"/>
  <c r="D4" i="4"/>
  <c r="T185" i="3"/>
  <c r="P185" i="3"/>
  <c r="X185" i="3" s="1"/>
  <c r="Z185" i="3" s="1"/>
  <c r="L185" i="3"/>
  <c r="H185" i="3"/>
  <c r="N185" i="3" s="1"/>
  <c r="D185" i="3"/>
  <c r="T184" i="3"/>
  <c r="P184" i="3"/>
  <c r="H184" i="3"/>
  <c r="D184" i="3"/>
  <c r="L184" i="3" s="1"/>
  <c r="X180" i="3"/>
  <c r="Z180" i="3" s="1"/>
  <c r="N180" i="3"/>
  <c r="L180" i="3"/>
  <c r="Z176" i="3"/>
  <c r="X176" i="3"/>
  <c r="P176" i="3"/>
  <c r="N176" i="3"/>
  <c r="J176" i="3"/>
  <c r="D176" i="3"/>
  <c r="L176" i="3" s="1"/>
  <c r="B176" i="3"/>
  <c r="Z175" i="3"/>
  <c r="P175" i="3"/>
  <c r="X175" i="3" s="1"/>
  <c r="N175" i="3"/>
  <c r="L175" i="3"/>
  <c r="D175" i="3"/>
  <c r="B175" i="3"/>
  <c r="X174" i="3"/>
  <c r="Z174" i="3" s="1"/>
  <c r="P174" i="3"/>
  <c r="D174" i="3"/>
  <c r="L174" i="3" s="1"/>
  <c r="N174" i="3" s="1"/>
  <c r="B174" i="3"/>
  <c r="Z173" i="3"/>
  <c r="P173" i="3"/>
  <c r="X173" i="3" s="1"/>
  <c r="N173" i="3"/>
  <c r="L173" i="3"/>
  <c r="D173" i="3"/>
  <c r="B173" i="3"/>
  <c r="X172" i="3"/>
  <c r="Z172" i="3" s="1"/>
  <c r="P172" i="3"/>
  <c r="D172" i="3"/>
  <c r="L172" i="3" s="1"/>
  <c r="N172" i="3" s="1"/>
  <c r="B172" i="3"/>
  <c r="P171" i="3"/>
  <c r="L171" i="3"/>
  <c r="N171" i="3" s="1"/>
  <c r="D171" i="3"/>
  <c r="B171" i="3"/>
  <c r="Z170" i="3"/>
  <c r="X170" i="3"/>
  <c r="P170" i="3"/>
  <c r="N170" i="3"/>
  <c r="D170" i="3"/>
  <c r="L170" i="3" s="1"/>
  <c r="B170" i="3"/>
  <c r="Z169" i="3"/>
  <c r="P169" i="3"/>
  <c r="X169" i="3" s="1"/>
  <c r="N169" i="3"/>
  <c r="L169" i="3"/>
  <c r="D169" i="3"/>
  <c r="B169" i="3"/>
  <c r="T168" i="3"/>
  <c r="L168" i="3"/>
  <c r="H168" i="3"/>
  <c r="D168" i="3"/>
  <c r="X166" i="3"/>
  <c r="Z166" i="3" s="1"/>
  <c r="N166" i="3"/>
  <c r="L166" i="3"/>
  <c r="B166" i="3"/>
  <c r="T165" i="3"/>
  <c r="P165" i="3"/>
  <c r="X165" i="3" s="1"/>
  <c r="Z165" i="3" s="1"/>
  <c r="H165" i="3"/>
  <c r="D165" i="3"/>
  <c r="L165" i="3" s="1"/>
  <c r="N165" i="3" s="1"/>
  <c r="B165" i="3"/>
  <c r="X164" i="3"/>
  <c r="Z164" i="3" s="1"/>
  <c r="L164" i="3"/>
  <c r="N164" i="3" s="1"/>
  <c r="B164" i="3"/>
  <c r="Z163" i="3"/>
  <c r="X163" i="3"/>
  <c r="N163" i="3"/>
  <c r="L163" i="3"/>
  <c r="B163" i="3"/>
  <c r="X162" i="3"/>
  <c r="Z162" i="3" s="1"/>
  <c r="N162" i="3"/>
  <c r="L162" i="3"/>
  <c r="B162" i="3"/>
  <c r="T161" i="3"/>
  <c r="P161" i="3"/>
  <c r="X161" i="3" s="1"/>
  <c r="Z161" i="3" s="1"/>
  <c r="N161" i="3"/>
  <c r="H161" i="3"/>
  <c r="D161" i="3"/>
  <c r="L161" i="3" s="1"/>
  <c r="B161" i="3"/>
  <c r="X160" i="3"/>
  <c r="Z160" i="3" s="1"/>
  <c r="L160" i="3"/>
  <c r="N160" i="3" s="1"/>
  <c r="B160" i="3"/>
  <c r="T159" i="3"/>
  <c r="P159" i="3"/>
  <c r="X159" i="3" s="1"/>
  <c r="Z159" i="3" s="1"/>
  <c r="L159" i="3"/>
  <c r="N159" i="3" s="1"/>
  <c r="H159" i="3"/>
  <c r="D159" i="3"/>
  <c r="B159" i="3"/>
  <c r="Z158" i="3"/>
  <c r="X158" i="3"/>
  <c r="L158" i="3"/>
  <c r="N158" i="3" s="1"/>
  <c r="B158" i="3"/>
  <c r="X157" i="3"/>
  <c r="Z157" i="3" s="1"/>
  <c r="N157" i="3"/>
  <c r="L157" i="3"/>
  <c r="B157" i="3"/>
  <c r="T156" i="3"/>
  <c r="P156" i="3"/>
  <c r="H156" i="3"/>
  <c r="D156" i="3"/>
  <c r="B156" i="3"/>
  <c r="X155" i="3"/>
  <c r="Z155" i="3" s="1"/>
  <c r="N155" i="3"/>
  <c r="L155" i="3"/>
  <c r="J155" i="3"/>
  <c r="B155" i="3"/>
  <c r="Z154" i="3"/>
  <c r="X154" i="3"/>
  <c r="L154" i="3"/>
  <c r="N154" i="3" s="1"/>
  <c r="B154" i="3"/>
  <c r="X153" i="3"/>
  <c r="Z153" i="3" s="1"/>
  <c r="N153" i="3"/>
  <c r="L153" i="3"/>
  <c r="B153" i="3"/>
  <c r="X152" i="3"/>
  <c r="Z152" i="3" s="1"/>
  <c r="L152" i="3"/>
  <c r="N152" i="3" s="1"/>
  <c r="B152" i="3"/>
  <c r="Z151" i="3"/>
  <c r="X151" i="3"/>
  <c r="L151" i="3"/>
  <c r="N151" i="3" s="1"/>
  <c r="B151" i="3"/>
  <c r="X150" i="3"/>
  <c r="Z150" i="3" s="1"/>
  <c r="N150" i="3"/>
  <c r="L150" i="3"/>
  <c r="B150" i="3"/>
  <c r="Z149" i="3"/>
  <c r="X149" i="3"/>
  <c r="L149" i="3"/>
  <c r="N149" i="3" s="1"/>
  <c r="B149" i="3"/>
  <c r="X148" i="3"/>
  <c r="Z148" i="3" s="1"/>
  <c r="L148" i="3"/>
  <c r="N148" i="3" s="1"/>
  <c r="B148" i="3"/>
  <c r="X147" i="3"/>
  <c r="Z147" i="3" s="1"/>
  <c r="N147" i="3"/>
  <c r="L147" i="3"/>
  <c r="J147" i="3"/>
  <c r="B147" i="3"/>
  <c r="Z146" i="3"/>
  <c r="X146" i="3"/>
  <c r="L146" i="3"/>
  <c r="N146" i="3" s="1"/>
  <c r="B146" i="3"/>
  <c r="X145" i="3"/>
  <c r="T145" i="3"/>
  <c r="Z145" i="3" s="1"/>
  <c r="P145" i="3"/>
  <c r="L145" i="3"/>
  <c r="N145" i="3" s="1"/>
  <c r="H145" i="3"/>
  <c r="D145" i="3"/>
  <c r="B145" i="3"/>
  <c r="X144" i="3"/>
  <c r="Z144" i="3" s="1"/>
  <c r="L144" i="3"/>
  <c r="N144" i="3" s="1"/>
  <c r="B144" i="3"/>
  <c r="Z143" i="3"/>
  <c r="X143" i="3"/>
  <c r="N143" i="3"/>
  <c r="L143" i="3"/>
  <c r="B143" i="3"/>
  <c r="T142" i="3"/>
  <c r="P142" i="3"/>
  <c r="X142" i="3" s="1"/>
  <c r="Z142" i="3" s="1"/>
  <c r="L142" i="3"/>
  <c r="H142" i="3"/>
  <c r="N142" i="3" s="1"/>
  <c r="D142" i="3"/>
  <c r="B142" i="3"/>
  <c r="Z141" i="3"/>
  <c r="X141" i="3"/>
  <c r="L141" i="3"/>
  <c r="N141" i="3" s="1"/>
  <c r="B141" i="3"/>
  <c r="X140" i="3"/>
  <c r="Z140" i="3" s="1"/>
  <c r="L140" i="3"/>
  <c r="N140" i="3" s="1"/>
  <c r="B140" i="3"/>
  <c r="X139" i="3"/>
  <c r="Z139" i="3" s="1"/>
  <c r="N139" i="3"/>
  <c r="L139" i="3"/>
  <c r="B139" i="3"/>
  <c r="Z138" i="3"/>
  <c r="X138" i="3"/>
  <c r="L138" i="3"/>
  <c r="N138" i="3" s="1"/>
  <c r="B138" i="3"/>
  <c r="X137" i="3"/>
  <c r="Z137" i="3" s="1"/>
  <c r="N137" i="3"/>
  <c r="L137" i="3"/>
  <c r="B137" i="3"/>
  <c r="T136" i="3"/>
  <c r="P136" i="3"/>
  <c r="X136" i="3" s="1"/>
  <c r="N136" i="3"/>
  <c r="H136" i="3"/>
  <c r="D136" i="3"/>
  <c r="L136" i="3" s="1"/>
  <c r="B136" i="3"/>
  <c r="X135" i="3"/>
  <c r="Z135" i="3" s="1"/>
  <c r="N135" i="3"/>
  <c r="L135" i="3"/>
  <c r="J135" i="3"/>
  <c r="B135" i="3"/>
  <c r="Z134" i="3"/>
  <c r="X134" i="3"/>
  <c r="L134" i="3"/>
  <c r="N134" i="3" s="1"/>
  <c r="B134" i="3"/>
  <c r="X133" i="3"/>
  <c r="Z133" i="3" s="1"/>
  <c r="N133" i="3"/>
  <c r="L133" i="3"/>
  <c r="B133" i="3"/>
  <c r="X132" i="3"/>
  <c r="Z132" i="3" s="1"/>
  <c r="L132" i="3"/>
  <c r="N132" i="3" s="1"/>
  <c r="B132" i="3"/>
  <c r="T131" i="3"/>
  <c r="P131" i="3"/>
  <c r="X131" i="3" s="1"/>
  <c r="Z131" i="3" s="1"/>
  <c r="L131" i="3"/>
  <c r="N131" i="3" s="1"/>
  <c r="H131" i="3"/>
  <c r="D131" i="3"/>
  <c r="B131" i="3"/>
  <c r="Z130" i="3"/>
  <c r="X130" i="3"/>
  <c r="L130" i="3"/>
  <c r="N130" i="3" s="1"/>
  <c r="B130" i="3"/>
  <c r="X129" i="3"/>
  <c r="Z129" i="3" s="1"/>
  <c r="N129" i="3"/>
  <c r="L129" i="3"/>
  <c r="B129" i="3"/>
  <c r="X128" i="3"/>
  <c r="Z128" i="3" s="1"/>
  <c r="L128" i="3"/>
  <c r="N128" i="3" s="1"/>
  <c r="B128" i="3"/>
  <c r="Z127" i="3"/>
  <c r="X127" i="3"/>
  <c r="L127" i="3"/>
  <c r="N127" i="3" s="1"/>
  <c r="B127" i="3"/>
  <c r="T126" i="3"/>
  <c r="P126" i="3"/>
  <c r="H126" i="3"/>
  <c r="D126" i="3"/>
  <c r="L126" i="3" s="1"/>
  <c r="B126" i="3"/>
  <c r="X125" i="3"/>
  <c r="Z125" i="3" s="1"/>
  <c r="N125" i="3"/>
  <c r="L125" i="3"/>
  <c r="B125" i="3"/>
  <c r="T124" i="3"/>
  <c r="P124" i="3"/>
  <c r="X124" i="3" s="1"/>
  <c r="H124" i="3"/>
  <c r="D124" i="3"/>
  <c r="B124" i="3"/>
  <c r="X123" i="3"/>
  <c r="Z123" i="3" s="1"/>
  <c r="N123" i="3"/>
  <c r="L123" i="3"/>
  <c r="B123" i="3"/>
  <c r="T122" i="3"/>
  <c r="P122" i="3"/>
  <c r="X122" i="3" s="1"/>
  <c r="Z122" i="3" s="1"/>
  <c r="L122" i="3"/>
  <c r="H122" i="3"/>
  <c r="N122" i="3" s="1"/>
  <c r="D122" i="3"/>
  <c r="B122" i="3"/>
  <c r="Z121" i="3"/>
  <c r="X121" i="3"/>
  <c r="L121" i="3"/>
  <c r="N121" i="3" s="1"/>
  <c r="J121" i="3"/>
  <c r="B121" i="3"/>
  <c r="T120" i="3"/>
  <c r="P120" i="3"/>
  <c r="X120" i="3" s="1"/>
  <c r="H120" i="3"/>
  <c r="D120" i="3"/>
  <c r="B120" i="3"/>
  <c r="Z119" i="3"/>
  <c r="X119" i="3"/>
  <c r="L119" i="3"/>
  <c r="N119" i="3" s="1"/>
  <c r="B119" i="3"/>
  <c r="X118" i="3"/>
  <c r="T118" i="3"/>
  <c r="P118" i="3"/>
  <c r="H118" i="3"/>
  <c r="D118" i="3"/>
  <c r="L118" i="3" s="1"/>
  <c r="B118" i="3"/>
  <c r="X117" i="3"/>
  <c r="Z117" i="3" s="1"/>
  <c r="N117" i="3"/>
  <c r="L117" i="3"/>
  <c r="B117" i="3"/>
  <c r="X116" i="3"/>
  <c r="T116" i="3"/>
  <c r="P116" i="3"/>
  <c r="H116" i="3"/>
  <c r="D116" i="3"/>
  <c r="L116" i="3" s="1"/>
  <c r="N116" i="3" s="1"/>
  <c r="B116" i="3"/>
  <c r="X115" i="3"/>
  <c r="Z115" i="3" s="1"/>
  <c r="N115" i="3"/>
  <c r="L115" i="3"/>
  <c r="B115" i="3"/>
  <c r="T114" i="3"/>
  <c r="Z114" i="3" s="1"/>
  <c r="P114" i="3"/>
  <c r="X114" i="3" s="1"/>
  <c r="L114" i="3"/>
  <c r="H114" i="3"/>
  <c r="D114" i="3"/>
  <c r="B114" i="3"/>
  <c r="Z113" i="3"/>
  <c r="X113" i="3"/>
  <c r="L113" i="3"/>
  <c r="N113" i="3" s="1"/>
  <c r="B113" i="3"/>
  <c r="X112" i="3"/>
  <c r="Z112" i="3" s="1"/>
  <c r="N112" i="3"/>
  <c r="L112" i="3"/>
  <c r="B112" i="3"/>
  <c r="X111" i="3"/>
  <c r="Z111" i="3" s="1"/>
  <c r="N111" i="3"/>
  <c r="L111" i="3"/>
  <c r="B111" i="3"/>
  <c r="T110" i="3"/>
  <c r="P110" i="3"/>
  <c r="H110" i="3"/>
  <c r="D110" i="3"/>
  <c r="L110" i="3" s="1"/>
  <c r="B110" i="3"/>
  <c r="Z109" i="3"/>
  <c r="X109" i="3"/>
  <c r="L109" i="3"/>
  <c r="N109" i="3" s="1"/>
  <c r="B109" i="3"/>
  <c r="X108" i="3"/>
  <c r="Z108" i="3" s="1"/>
  <c r="L108" i="3"/>
  <c r="N108" i="3" s="1"/>
  <c r="B108" i="3"/>
  <c r="X107" i="3"/>
  <c r="Z107" i="3" s="1"/>
  <c r="T107" i="3"/>
  <c r="P107" i="3"/>
  <c r="H107" i="3"/>
  <c r="D107" i="3"/>
  <c r="B107" i="3"/>
  <c r="X106" i="3"/>
  <c r="Z106" i="3" s="1"/>
  <c r="N106" i="3"/>
  <c r="L106" i="3"/>
  <c r="B106" i="3"/>
  <c r="T105" i="3"/>
  <c r="Z105" i="3" s="1"/>
  <c r="P105" i="3"/>
  <c r="X105" i="3" s="1"/>
  <c r="H105" i="3"/>
  <c r="D105" i="3"/>
  <c r="L105" i="3" s="1"/>
  <c r="N105" i="3" s="1"/>
  <c r="B105" i="3"/>
  <c r="X104" i="3"/>
  <c r="Z104" i="3" s="1"/>
  <c r="L104" i="3"/>
  <c r="N104" i="3" s="1"/>
  <c r="B104" i="3"/>
  <c r="Z103" i="3"/>
  <c r="T103" i="3"/>
  <c r="P103" i="3"/>
  <c r="X103" i="3" s="1"/>
  <c r="L103" i="3"/>
  <c r="N103" i="3" s="1"/>
  <c r="H103" i="3"/>
  <c r="D103" i="3"/>
  <c r="B103" i="3"/>
  <c r="Z102" i="3"/>
  <c r="X102" i="3"/>
  <c r="L102" i="3"/>
  <c r="N102" i="3" s="1"/>
  <c r="B102" i="3"/>
  <c r="X101" i="3"/>
  <c r="T101" i="3"/>
  <c r="P101" i="3"/>
  <c r="L101" i="3"/>
  <c r="H101" i="3"/>
  <c r="N101" i="3" s="1"/>
  <c r="D101" i="3"/>
  <c r="B101" i="3"/>
  <c r="Z100" i="3"/>
  <c r="X100" i="3"/>
  <c r="N100" i="3"/>
  <c r="L100" i="3"/>
  <c r="B100" i="3"/>
  <c r="Z99" i="3"/>
  <c r="X99" i="3"/>
  <c r="N99" i="3"/>
  <c r="L99" i="3"/>
  <c r="B99" i="3"/>
  <c r="Z98" i="3"/>
  <c r="T98" i="3"/>
  <c r="P98" i="3"/>
  <c r="X98" i="3" s="1"/>
  <c r="N98" i="3"/>
  <c r="L98" i="3"/>
  <c r="H98" i="3"/>
  <c r="D98" i="3"/>
  <c r="B98" i="3"/>
  <c r="Z97" i="3"/>
  <c r="X97" i="3"/>
  <c r="L97" i="3"/>
  <c r="N97" i="3" s="1"/>
  <c r="J97" i="3"/>
  <c r="B97" i="3"/>
  <c r="Z96" i="3"/>
  <c r="X96" i="3"/>
  <c r="N96" i="3"/>
  <c r="L96" i="3"/>
  <c r="J96" i="3"/>
  <c r="B96" i="3"/>
  <c r="T95" i="3"/>
  <c r="P95" i="3"/>
  <c r="X95" i="3" s="1"/>
  <c r="H95" i="3"/>
  <c r="D95" i="3"/>
  <c r="L95" i="3" s="1"/>
  <c r="N95" i="3" s="1"/>
  <c r="B95" i="3"/>
  <c r="Z94" i="3"/>
  <c r="X94" i="3"/>
  <c r="L94" i="3"/>
  <c r="N94" i="3" s="1"/>
  <c r="B94" i="3"/>
  <c r="T93" i="3"/>
  <c r="P93" i="3"/>
  <c r="X93" i="3" s="1"/>
  <c r="Z93" i="3" s="1"/>
  <c r="L93" i="3"/>
  <c r="N93" i="3" s="1"/>
  <c r="H93" i="3"/>
  <c r="D93" i="3"/>
  <c r="B93" i="3"/>
  <c r="X92" i="3"/>
  <c r="Z92" i="3" s="1"/>
  <c r="N92" i="3"/>
  <c r="L92" i="3"/>
  <c r="B92" i="3"/>
  <c r="X91" i="3"/>
  <c r="Z91" i="3" s="1"/>
  <c r="T91" i="3"/>
  <c r="P91" i="3"/>
  <c r="H91" i="3"/>
  <c r="D91" i="3"/>
  <c r="B91" i="3"/>
  <c r="X90" i="3"/>
  <c r="Z90" i="3" s="1"/>
  <c r="N90" i="3"/>
  <c r="L90" i="3"/>
  <c r="B90" i="3"/>
  <c r="T89" i="3"/>
  <c r="P89" i="3"/>
  <c r="H89" i="3"/>
  <c r="D89" i="3"/>
  <c r="L89" i="3" s="1"/>
  <c r="B89" i="3"/>
  <c r="Z88" i="3"/>
  <c r="X88" i="3"/>
  <c r="N88" i="3"/>
  <c r="L88" i="3"/>
  <c r="J88" i="3"/>
  <c r="B88" i="3"/>
  <c r="Z87" i="3"/>
  <c r="X87" i="3"/>
  <c r="N87" i="3"/>
  <c r="L87" i="3"/>
  <c r="B87" i="3"/>
  <c r="X86" i="3"/>
  <c r="Z86" i="3" s="1"/>
  <c r="N86" i="3"/>
  <c r="L86" i="3"/>
  <c r="B86" i="3"/>
  <c r="X85" i="3"/>
  <c r="Z85" i="3" s="1"/>
  <c r="L85" i="3"/>
  <c r="N85" i="3" s="1"/>
  <c r="B85" i="3"/>
  <c r="Z84" i="3"/>
  <c r="X84" i="3"/>
  <c r="N84" i="3"/>
  <c r="L84" i="3"/>
  <c r="B84" i="3"/>
  <c r="X83" i="3"/>
  <c r="Z83" i="3" s="1"/>
  <c r="N83" i="3"/>
  <c r="L83" i="3"/>
  <c r="B83" i="3"/>
  <c r="Z82" i="3"/>
  <c r="X82" i="3"/>
  <c r="L82" i="3"/>
  <c r="N82" i="3" s="1"/>
  <c r="B82" i="3"/>
  <c r="Z81" i="3"/>
  <c r="X81" i="3"/>
  <c r="N81" i="3"/>
  <c r="L81" i="3"/>
  <c r="B81" i="3"/>
  <c r="X80" i="3"/>
  <c r="Z80" i="3" s="1"/>
  <c r="N80" i="3"/>
  <c r="L80" i="3"/>
  <c r="J80" i="3"/>
  <c r="B80" i="3"/>
  <c r="Z79" i="3"/>
  <c r="X79" i="3"/>
  <c r="L79" i="3"/>
  <c r="N79" i="3" s="1"/>
  <c r="B79" i="3"/>
  <c r="T78" i="3"/>
  <c r="P78" i="3"/>
  <c r="H78" i="3"/>
  <c r="D78" i="3"/>
  <c r="L78" i="3" s="1"/>
  <c r="N78" i="3" s="1"/>
  <c r="B78" i="3"/>
  <c r="X77" i="3"/>
  <c r="Z77" i="3" s="1"/>
  <c r="L77" i="3"/>
  <c r="N77" i="3" s="1"/>
  <c r="B77" i="3"/>
  <c r="X76" i="3"/>
  <c r="Z76" i="3" s="1"/>
  <c r="L76" i="3"/>
  <c r="N76" i="3" s="1"/>
  <c r="J76" i="3"/>
  <c r="B76" i="3"/>
  <c r="Z75" i="3"/>
  <c r="X75" i="3"/>
  <c r="L75" i="3"/>
  <c r="N75" i="3" s="1"/>
  <c r="B75" i="3"/>
  <c r="Z74" i="3"/>
  <c r="X74" i="3"/>
  <c r="N74" i="3"/>
  <c r="L74" i="3"/>
  <c r="B74" i="3"/>
  <c r="Z73" i="3"/>
  <c r="X73" i="3"/>
  <c r="N73" i="3"/>
  <c r="L73" i="3"/>
  <c r="B73" i="3"/>
  <c r="X72" i="3"/>
  <c r="Z72" i="3" s="1"/>
  <c r="L72" i="3"/>
  <c r="N72" i="3" s="1"/>
  <c r="B72" i="3"/>
  <c r="X71" i="3"/>
  <c r="Z71" i="3" s="1"/>
  <c r="N71" i="3"/>
  <c r="L71" i="3"/>
  <c r="B71" i="3"/>
  <c r="Z70" i="3"/>
  <c r="X70" i="3"/>
  <c r="L70" i="3"/>
  <c r="N70" i="3" s="1"/>
  <c r="B70" i="3"/>
  <c r="X69" i="3"/>
  <c r="Z69" i="3" s="1"/>
  <c r="L69" i="3"/>
  <c r="N69" i="3" s="1"/>
  <c r="B69" i="3"/>
  <c r="X68" i="3"/>
  <c r="Z68" i="3" s="1"/>
  <c r="L68" i="3"/>
  <c r="N68" i="3" s="1"/>
  <c r="J68" i="3"/>
  <c r="B68" i="3"/>
  <c r="T67" i="3"/>
  <c r="P67" i="3"/>
  <c r="X67" i="3" s="1"/>
  <c r="H67" i="3"/>
  <c r="D67" i="3"/>
  <c r="L67" i="3" s="1"/>
  <c r="N67" i="3" s="1"/>
  <c r="B67" i="3"/>
  <c r="T66" i="3" a="1"/>
  <c r="T66" i="3" s="1"/>
  <c r="P66" i="3" a="1"/>
  <c r="P66" i="3" s="1"/>
  <c r="H66" i="3" a="1"/>
  <c r="H66" i="3" s="1"/>
  <c r="D66" i="3" a="1"/>
  <c r="D66" i="3" s="1"/>
  <c r="L66" i="3" s="1"/>
  <c r="Z62" i="3"/>
  <c r="X62" i="3"/>
  <c r="N62" i="3"/>
  <c r="L62" i="3"/>
  <c r="B62" i="3"/>
  <c r="Z61" i="3"/>
  <c r="X61" i="3"/>
  <c r="N61" i="3"/>
  <c r="L61" i="3"/>
  <c r="B61" i="3"/>
  <c r="Z60" i="3"/>
  <c r="X60" i="3"/>
  <c r="N60" i="3"/>
  <c r="L60" i="3"/>
  <c r="B60" i="3"/>
  <c r="Z59" i="3"/>
  <c r="X59" i="3"/>
  <c r="N59" i="3"/>
  <c r="L59" i="3"/>
  <c r="B59" i="3"/>
  <c r="Z58" i="3"/>
  <c r="X58" i="3"/>
  <c r="N58" i="3"/>
  <c r="L58" i="3"/>
  <c r="B58" i="3"/>
  <c r="Z57" i="3"/>
  <c r="X57" i="3"/>
  <c r="N57" i="3"/>
  <c r="L57" i="3"/>
  <c r="B57" i="3"/>
  <c r="Z56" i="3"/>
  <c r="X56" i="3"/>
  <c r="N56" i="3"/>
  <c r="L56" i="3"/>
  <c r="J56" i="3"/>
  <c r="B56" i="3"/>
  <c r="Z55" i="3"/>
  <c r="X55" i="3"/>
  <c r="N55" i="3"/>
  <c r="L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B52" i="3"/>
  <c r="Z51" i="3"/>
  <c r="X51" i="3"/>
  <c r="N51" i="3"/>
  <c r="L51" i="3"/>
  <c r="B51" i="3"/>
  <c r="Z50" i="3"/>
  <c r="X50" i="3"/>
  <c r="N50" i="3"/>
  <c r="L50" i="3"/>
  <c r="J50" i="3"/>
  <c r="B50" i="3"/>
  <c r="Z49" i="3"/>
  <c r="X49" i="3"/>
  <c r="N49" i="3"/>
  <c r="L49" i="3"/>
  <c r="B49" i="3"/>
  <c r="Z48" i="3"/>
  <c r="X48" i="3"/>
  <c r="N48" i="3"/>
  <c r="L48" i="3"/>
  <c r="J48" i="3"/>
  <c r="B48" i="3"/>
  <c r="Z47" i="3"/>
  <c r="X47" i="3"/>
  <c r="N47" i="3"/>
  <c r="L47" i="3"/>
  <c r="B47" i="3"/>
  <c r="Z46" i="3"/>
  <c r="X46" i="3"/>
  <c r="N46" i="3"/>
  <c r="L46" i="3"/>
  <c r="B46" i="3"/>
  <c r="Z45" i="3"/>
  <c r="X45" i="3"/>
  <c r="N45" i="3"/>
  <c r="L45" i="3"/>
  <c r="J45" i="3"/>
  <c r="B45" i="3"/>
  <c r="Z44" i="3"/>
  <c r="X44" i="3"/>
  <c r="N44" i="3"/>
  <c r="L44" i="3"/>
  <c r="B44" i="3"/>
  <c r="Z43" i="3"/>
  <c r="X43" i="3"/>
  <c r="N43" i="3"/>
  <c r="L43" i="3"/>
  <c r="B43" i="3"/>
  <c r="Z42" i="3"/>
  <c r="X42" i="3"/>
  <c r="N42" i="3"/>
  <c r="L42" i="3"/>
  <c r="J42" i="3"/>
  <c r="B42" i="3"/>
  <c r="Z41" i="3"/>
  <c r="X41" i="3"/>
  <c r="N41" i="3"/>
  <c r="L41" i="3"/>
  <c r="B41" i="3"/>
  <c r="Z40" i="3"/>
  <c r="X40" i="3"/>
  <c r="N40" i="3"/>
  <c r="L40" i="3"/>
  <c r="J40" i="3"/>
  <c r="B40" i="3"/>
  <c r="Z39" i="3"/>
  <c r="X39" i="3"/>
  <c r="N39" i="3"/>
  <c r="L39" i="3"/>
  <c r="B39" i="3"/>
  <c r="Z38" i="3"/>
  <c r="X38" i="3"/>
  <c r="N38" i="3"/>
  <c r="L38" i="3"/>
  <c r="B38" i="3"/>
  <c r="Z37" i="3"/>
  <c r="X37" i="3"/>
  <c r="N37" i="3"/>
  <c r="L37" i="3"/>
  <c r="J37" i="3"/>
  <c r="B37" i="3"/>
  <c r="Z36" i="3"/>
  <c r="X36" i="3"/>
  <c r="N36" i="3"/>
  <c r="L36" i="3"/>
  <c r="B36" i="3"/>
  <c r="Z35" i="3"/>
  <c r="X35" i="3"/>
  <c r="N35" i="3"/>
  <c r="L35" i="3"/>
  <c r="B35" i="3"/>
  <c r="Z34" i="3"/>
  <c r="X34" i="3"/>
  <c r="N34" i="3"/>
  <c r="L34" i="3"/>
  <c r="J34" i="3"/>
  <c r="B34" i="3"/>
  <c r="Z33" i="3"/>
  <c r="X33" i="3"/>
  <c r="N33" i="3"/>
  <c r="L33" i="3"/>
  <c r="B33" i="3"/>
  <c r="Z32" i="3"/>
  <c r="X32" i="3"/>
  <c r="N32" i="3"/>
  <c r="L32" i="3"/>
  <c r="J32" i="3"/>
  <c r="B32" i="3"/>
  <c r="Z31" i="3"/>
  <c r="X31" i="3"/>
  <c r="N31" i="3"/>
  <c r="L31" i="3"/>
  <c r="B31" i="3"/>
  <c r="Z30" i="3"/>
  <c r="X30" i="3"/>
  <c r="N30" i="3"/>
  <c r="L30" i="3"/>
  <c r="B30" i="3"/>
  <c r="Z29" i="3"/>
  <c r="X29" i="3"/>
  <c r="N29" i="3"/>
  <c r="L29" i="3"/>
  <c r="J29" i="3"/>
  <c r="B29" i="3"/>
  <c r="Z28" i="3"/>
  <c r="X28" i="3"/>
  <c r="L28" i="3"/>
  <c r="N28" i="3" s="1"/>
  <c r="B28" i="3"/>
  <c r="X27" i="3"/>
  <c r="T27" i="3"/>
  <c r="Z27" i="3" s="1"/>
  <c r="P27" i="3"/>
  <c r="H27" i="3"/>
  <c r="D27" i="3"/>
  <c r="Z25" i="3"/>
  <c r="P25" i="3"/>
  <c r="X25" i="3" s="1"/>
  <c r="N25" i="3"/>
  <c r="D25" i="3"/>
  <c r="L25" i="3" s="1"/>
  <c r="B25" i="3"/>
  <c r="Z24" i="3"/>
  <c r="X24" i="3"/>
  <c r="P24" i="3"/>
  <c r="N24" i="3"/>
  <c r="L24" i="3"/>
  <c r="D24" i="3"/>
  <c r="B24" i="3"/>
  <c r="Z23" i="3"/>
  <c r="P23" i="3"/>
  <c r="X23" i="3" s="1"/>
  <c r="N23" i="3"/>
  <c r="D23" i="3"/>
  <c r="L23" i="3" s="1"/>
  <c r="B23" i="3"/>
  <c r="Z22" i="3"/>
  <c r="P22" i="3"/>
  <c r="X22" i="3" s="1"/>
  <c r="N22" i="3"/>
  <c r="D22" i="3"/>
  <c r="L22" i="3" s="1"/>
  <c r="B22" i="3"/>
  <c r="Z21" i="3"/>
  <c r="X21" i="3"/>
  <c r="P21" i="3"/>
  <c r="N21" i="3"/>
  <c r="L21" i="3"/>
  <c r="D21" i="3"/>
  <c r="B21" i="3"/>
  <c r="Z20" i="3"/>
  <c r="P20" i="3"/>
  <c r="X20" i="3" s="1"/>
  <c r="N20" i="3"/>
  <c r="D20" i="3"/>
  <c r="L20" i="3" s="1"/>
  <c r="B20" i="3"/>
  <c r="Z19" i="3"/>
  <c r="X19" i="3"/>
  <c r="P19" i="3"/>
  <c r="N19" i="3"/>
  <c r="D19" i="3"/>
  <c r="L19" i="3" s="1"/>
  <c r="B19" i="3"/>
  <c r="Z18" i="3"/>
  <c r="P18" i="3"/>
  <c r="X18" i="3" s="1"/>
  <c r="N18" i="3"/>
  <c r="L18" i="3"/>
  <c r="D18" i="3"/>
  <c r="B18" i="3"/>
  <c r="P17" i="3"/>
  <c r="X17" i="3" s="1"/>
  <c r="Z17" i="3" s="1"/>
  <c r="D17" i="3"/>
  <c r="L17" i="3" s="1"/>
  <c r="N17" i="3" s="1"/>
  <c r="B17" i="3"/>
  <c r="Z16" i="3"/>
  <c r="X16" i="3"/>
  <c r="P16" i="3"/>
  <c r="N16" i="3"/>
  <c r="L16" i="3"/>
  <c r="D16" i="3"/>
  <c r="B16" i="3"/>
  <c r="Z15" i="3"/>
  <c r="P15" i="3"/>
  <c r="X15" i="3" s="1"/>
  <c r="N15" i="3"/>
  <c r="D15" i="3"/>
  <c r="D12" i="3" s="1"/>
  <c r="B15" i="3"/>
  <c r="Z14" i="3"/>
  <c r="P14" i="3"/>
  <c r="X14" i="3" s="1"/>
  <c r="N14" i="3"/>
  <c r="D14" i="3"/>
  <c r="L14" i="3" s="1"/>
  <c r="B14" i="3"/>
  <c r="X13" i="3"/>
  <c r="Z13" i="3" s="1"/>
  <c r="P13" i="3"/>
  <c r="L13" i="3"/>
  <c r="N13" i="3" s="1"/>
  <c r="D13" i="3"/>
  <c r="B13" i="3"/>
  <c r="T12" i="3"/>
  <c r="H12" i="3"/>
  <c r="J149" i="3" s="1"/>
  <c r="D4" i="3"/>
  <c r="X34" i="4" l="1"/>
  <c r="L13" i="16"/>
  <c r="L29" i="19"/>
  <c r="X24" i="27"/>
  <c r="L34" i="44"/>
  <c r="L25" i="49"/>
  <c r="L33" i="49"/>
  <c r="X22" i="4"/>
  <c r="L22" i="8"/>
  <c r="L24" i="22"/>
  <c r="X33" i="23"/>
  <c r="L16" i="24"/>
  <c r="L15" i="32"/>
  <c r="X16" i="33"/>
  <c r="X16" i="40"/>
  <c r="L24" i="40"/>
  <c r="X13" i="41"/>
  <c r="L21" i="41"/>
  <c r="X25" i="41"/>
  <c r="X33" i="41"/>
  <c r="L24" i="47"/>
  <c r="X29" i="20"/>
  <c r="X13" i="4"/>
  <c r="X22" i="5"/>
  <c r="L16" i="7"/>
  <c r="X22" i="7"/>
  <c r="L13" i="8"/>
  <c r="L33" i="8"/>
  <c r="X29" i="13"/>
  <c r="X34" i="13"/>
  <c r="L15" i="16"/>
  <c r="X21" i="16"/>
  <c r="L34" i="16"/>
  <c r="L33" i="19"/>
  <c r="L15" i="52"/>
  <c r="X21" i="52"/>
  <c r="D18" i="4"/>
  <c r="D27" i="4" s="1"/>
  <c r="X29" i="11"/>
  <c r="X34" i="11"/>
  <c r="X20" i="13"/>
  <c r="X15" i="32"/>
  <c r="X29" i="32"/>
  <c r="X24" i="33"/>
  <c r="X15" i="38"/>
  <c r="L13" i="11"/>
  <c r="L13" i="14"/>
  <c r="L22" i="16"/>
  <c r="X29" i="17"/>
  <c r="X34" i="17"/>
  <c r="X24" i="24"/>
  <c r="L24" i="35"/>
  <c r="L16" i="37"/>
  <c r="X22" i="37"/>
  <c r="X25" i="50"/>
  <c r="X33" i="50"/>
  <c r="L25" i="16"/>
  <c r="X22" i="47"/>
  <c r="L25" i="53"/>
  <c r="X34" i="35"/>
  <c r="X25" i="40"/>
  <c r="X33" i="40"/>
  <c r="X22" i="41"/>
  <c r="L22" i="43"/>
  <c r="X25" i="52"/>
  <c r="X33" i="52"/>
  <c r="L21" i="33"/>
  <c r="X25" i="33"/>
  <c r="L20" i="37"/>
  <c r="X21" i="38"/>
  <c r="X29" i="47"/>
  <c r="L22" i="93"/>
  <c r="X22" i="22"/>
  <c r="L25" i="23"/>
  <c r="L33" i="23"/>
  <c r="L22" i="53"/>
  <c r="X21" i="11"/>
  <c r="X25" i="17"/>
  <c r="X21" i="32"/>
  <c r="L15" i="17"/>
  <c r="L29" i="17"/>
  <c r="L34" i="17"/>
  <c r="L15" i="23"/>
  <c r="L34" i="23"/>
  <c r="X16" i="24"/>
  <c r="X16" i="29"/>
  <c r="L24" i="29"/>
  <c r="L21" i="30"/>
  <c r="X25" i="30"/>
  <c r="X33" i="30"/>
  <c r="L34" i="26"/>
  <c r="X15" i="40"/>
  <c r="L29" i="50"/>
  <c r="X20" i="49"/>
  <c r="L21" i="53"/>
  <c r="X25" i="53"/>
  <c r="N12" i="44"/>
  <c r="X24" i="11"/>
  <c r="L33" i="93"/>
  <c r="X21" i="95"/>
  <c r="L15" i="4"/>
  <c r="X16" i="5"/>
  <c r="L24" i="5"/>
  <c r="X16" i="7"/>
  <c r="L24" i="7"/>
  <c r="L13" i="10"/>
  <c r="L25" i="10"/>
  <c r="L33" i="10"/>
  <c r="L22" i="11"/>
  <c r="X34" i="16"/>
  <c r="X13" i="19"/>
  <c r="L21" i="19"/>
  <c r="X25" i="19"/>
  <c r="L24" i="26"/>
  <c r="X13" i="27"/>
  <c r="X25" i="27"/>
  <c r="X33" i="27"/>
  <c r="X25" i="43"/>
  <c r="L13" i="44"/>
  <c r="X25" i="47"/>
  <c r="L20" i="50"/>
  <c r="L20" i="95"/>
  <c r="L16" i="94"/>
  <c r="X15" i="7"/>
  <c r="X29" i="7"/>
  <c r="X16" i="13"/>
  <c r="X13" i="14"/>
  <c r="L21" i="14"/>
  <c r="X33" i="14"/>
  <c r="L25" i="17"/>
  <c r="L33" i="17"/>
  <c r="L20" i="19"/>
  <c r="X24" i="19"/>
  <c r="X25" i="44"/>
  <c r="X33" i="44"/>
  <c r="X24" i="47"/>
  <c r="L15" i="53"/>
  <c r="X29" i="8"/>
  <c r="L29" i="13"/>
  <c r="L34" i="13"/>
  <c r="X16" i="14"/>
  <c r="X13" i="16"/>
  <c r="L21" i="16"/>
  <c r="X22" i="17"/>
  <c r="X29" i="19"/>
  <c r="X34" i="19"/>
  <c r="X24" i="20"/>
  <c r="X13" i="22"/>
  <c r="L13" i="24"/>
  <c r="L25" i="24"/>
  <c r="X34" i="30"/>
  <c r="X33" i="32"/>
  <c r="L16" i="33"/>
  <c r="L21" i="38"/>
  <c r="X25" i="38"/>
  <c r="L25" i="41"/>
  <c r="L33" i="41"/>
  <c r="L24" i="44"/>
  <c r="X20" i="46"/>
  <c r="Z12" i="17"/>
  <c r="L15" i="7"/>
  <c r="X21" i="7"/>
  <c r="X16" i="8"/>
  <c r="X25" i="8"/>
  <c r="Z12" i="10"/>
  <c r="L20" i="13"/>
  <c r="L24" i="14"/>
  <c r="X20" i="22"/>
  <c r="X29" i="23"/>
  <c r="L21" i="29"/>
  <c r="X25" i="29"/>
  <c r="X33" i="29"/>
  <c r="L24" i="32"/>
  <c r="X25" i="37"/>
  <c r="X33" i="37"/>
  <c r="L33" i="38"/>
  <c r="L20" i="41"/>
  <c r="L21" i="46"/>
  <c r="L24" i="49"/>
  <c r="R18" i="49"/>
  <c r="X29" i="5"/>
  <c r="X15" i="14"/>
  <c r="X21" i="29"/>
  <c r="X21" i="37"/>
  <c r="L16" i="40"/>
  <c r="X22" i="94"/>
  <c r="X24" i="95"/>
  <c r="X20" i="14"/>
  <c r="V18" i="33"/>
  <c r="V25" i="33"/>
  <c r="F27" i="38"/>
  <c r="L25" i="7"/>
  <c r="X22" i="11"/>
  <c r="X15" i="33"/>
  <c r="X29" i="37"/>
  <c r="X34" i="37"/>
  <c r="L16" i="19"/>
  <c r="L22" i="46"/>
  <c r="L20" i="94"/>
  <c r="V20" i="95"/>
  <c r="L13" i="26"/>
  <c r="L25" i="29"/>
  <c r="X15" i="30"/>
  <c r="X22" i="32"/>
  <c r="L25" i="37"/>
  <c r="L33" i="37"/>
  <c r="L34" i="40"/>
  <c r="L24" i="41"/>
  <c r="X29" i="44"/>
  <c r="X13" i="46"/>
  <c r="F22" i="46"/>
  <c r="X15" i="47"/>
  <c r="X13" i="49"/>
  <c r="L29" i="52"/>
  <c r="F20" i="94"/>
  <c r="N12" i="22"/>
  <c r="J27" i="29"/>
  <c r="R25" i="32"/>
  <c r="L16" i="4"/>
  <c r="L25" i="4"/>
  <c r="L20" i="5"/>
  <c r="X24" i="5"/>
  <c r="L20" i="7"/>
  <c r="X22" i="8"/>
  <c r="L13" i="13"/>
  <c r="L25" i="13"/>
  <c r="L33" i="13"/>
  <c r="L34" i="14"/>
  <c r="L21" i="17"/>
  <c r="X33" i="19"/>
  <c r="L16" i="20"/>
  <c r="X21" i="22"/>
  <c r="L29" i="22"/>
  <c r="L34" i="22"/>
  <c r="X34" i="23"/>
  <c r="X25" i="24"/>
  <c r="X33" i="24"/>
  <c r="X15" i="27"/>
  <c r="J15" i="29"/>
  <c r="L20" i="29"/>
  <c r="L13" i="30"/>
  <c r="X24" i="30"/>
  <c r="X13" i="33"/>
  <c r="X20" i="33"/>
  <c r="L22" i="33"/>
  <c r="L16" i="35"/>
  <c r="X24" i="37"/>
  <c r="R24" i="40"/>
  <c r="X21" i="41"/>
  <c r="L29" i="41"/>
  <c r="L34" i="41"/>
  <c r="X13" i="43"/>
  <c r="L16" i="43"/>
  <c r="X22" i="43"/>
  <c r="L29" i="46"/>
  <c r="X25" i="49"/>
  <c r="X33" i="49"/>
  <c r="L22" i="50"/>
  <c r="L29" i="53"/>
  <c r="L34" i="53"/>
  <c r="L16" i="93"/>
  <c r="X29" i="93"/>
  <c r="X20" i="94"/>
  <c r="X16" i="4"/>
  <c r="L21" i="4"/>
  <c r="L16" i="5"/>
  <c r="X20" i="7"/>
  <c r="L22" i="7"/>
  <c r="X15" i="8"/>
  <c r="L20" i="8"/>
  <c r="X21" i="8"/>
  <c r="X33" i="8"/>
  <c r="X29" i="10"/>
  <c r="X25" i="13"/>
  <c r="X33" i="13"/>
  <c r="X34" i="14"/>
  <c r="N25" i="16"/>
  <c r="L33" i="16"/>
  <c r="Z12" i="19"/>
  <c r="X15" i="22"/>
  <c r="X29" i="22"/>
  <c r="L12" i="23"/>
  <c r="X22" i="23"/>
  <c r="L21" i="26"/>
  <c r="X25" i="26"/>
  <c r="L13" i="27"/>
  <c r="L22" i="29"/>
  <c r="X29" i="29"/>
  <c r="X13" i="30"/>
  <c r="X22" i="30"/>
  <c r="L16" i="32"/>
  <c r="X22" i="33"/>
  <c r="L21" i="35"/>
  <c r="X25" i="35"/>
  <c r="X33" i="35"/>
  <c r="L34" i="38"/>
  <c r="X13" i="40"/>
  <c r="X29" i="41"/>
  <c r="X34" i="41"/>
  <c r="L15" i="43"/>
  <c r="X16" i="43"/>
  <c r="X34" i="44"/>
  <c r="X34" i="46"/>
  <c r="X15" i="49"/>
  <c r="L34" i="49"/>
  <c r="X22" i="50"/>
  <c r="X15" i="52"/>
  <c r="X16" i="93"/>
  <c r="V18" i="94"/>
  <c r="X21" i="4"/>
  <c r="X20" i="8"/>
  <c r="V21" i="8"/>
  <c r="F34" i="17"/>
  <c r="L25" i="22"/>
  <c r="L33" i="22"/>
  <c r="X22" i="29"/>
  <c r="X34" i="29"/>
  <c r="L25" i="30"/>
  <c r="L24" i="33"/>
  <c r="R22" i="37"/>
  <c r="N12" i="40"/>
  <c r="X24" i="43"/>
  <c r="X16" i="46"/>
  <c r="L25" i="46"/>
  <c r="L33" i="46"/>
  <c r="L22" i="47"/>
  <c r="X34" i="49"/>
  <c r="L15" i="50"/>
  <c r="X20" i="52"/>
  <c r="L13" i="95"/>
  <c r="Z12" i="4"/>
  <c r="X24" i="4"/>
  <c r="L15" i="5"/>
  <c r="X33" i="5"/>
  <c r="L29" i="11"/>
  <c r="J15" i="33"/>
  <c r="R33" i="14"/>
  <c r="X15" i="23"/>
  <c r="N12" i="29"/>
  <c r="L20" i="33"/>
  <c r="R18" i="20"/>
  <c r="F22" i="41"/>
  <c r="F20" i="41"/>
  <c r="F16" i="41"/>
  <c r="L22" i="94"/>
  <c r="N22" i="94"/>
  <c r="R34" i="95"/>
  <c r="R15" i="95"/>
  <c r="R22" i="95"/>
  <c r="R18" i="95"/>
  <c r="F16" i="4"/>
  <c r="X13" i="7"/>
  <c r="L15" i="8"/>
  <c r="L16" i="8"/>
  <c r="T97" i="9"/>
  <c r="T101" i="9" s="1"/>
  <c r="L20" i="10"/>
  <c r="X21" i="10"/>
  <c r="V25" i="10"/>
  <c r="Z12" i="11"/>
  <c r="L15" i="11"/>
  <c r="L25" i="11"/>
  <c r="J16" i="35"/>
  <c r="F18" i="93"/>
  <c r="X25" i="93"/>
  <c r="Z29" i="30"/>
  <c r="X29" i="30"/>
  <c r="Z20" i="40"/>
  <c r="X20" i="40"/>
  <c r="N13" i="47"/>
  <c r="L13" i="47"/>
  <c r="F15" i="4"/>
  <c r="Z12" i="8"/>
  <c r="J15" i="8"/>
  <c r="L29" i="10"/>
  <c r="X25" i="11"/>
  <c r="Z29" i="40"/>
  <c r="X29" i="40"/>
  <c r="F20" i="4"/>
  <c r="X66" i="3"/>
  <c r="Z66" i="3" s="1"/>
  <c r="X29" i="4"/>
  <c r="X20" i="5"/>
  <c r="X34" i="5"/>
  <c r="D18" i="7"/>
  <c r="D27" i="7" s="1"/>
  <c r="X25" i="7"/>
  <c r="X33" i="7"/>
  <c r="L21" i="8"/>
  <c r="L25" i="8"/>
  <c r="L22" i="10"/>
  <c r="X33" i="11"/>
  <c r="L58" i="12"/>
  <c r="X16" i="22"/>
  <c r="L34" i="35"/>
  <c r="X24" i="44"/>
  <c r="L34" i="46"/>
  <c r="X24" i="93"/>
  <c r="R20" i="95"/>
  <c r="X15" i="4"/>
  <c r="V20" i="10"/>
  <c r="V21" i="30"/>
  <c r="Z12" i="30"/>
  <c r="J20" i="43"/>
  <c r="J36" i="43"/>
  <c r="N12" i="43"/>
  <c r="J18" i="47"/>
  <c r="J34" i="47"/>
  <c r="N12" i="47"/>
  <c r="X22" i="83"/>
  <c r="Z22" i="83" s="1"/>
  <c r="L16" i="95"/>
  <c r="N16" i="95"/>
  <c r="L12" i="41"/>
  <c r="P18" i="5"/>
  <c r="P27" i="5" s="1"/>
  <c r="P31" i="5" s="1"/>
  <c r="P36" i="5" s="1"/>
  <c r="X34" i="10"/>
  <c r="N12" i="11"/>
  <c r="R24" i="11"/>
  <c r="L34" i="11"/>
  <c r="X58" i="12"/>
  <c r="V21" i="29"/>
  <c r="V18" i="29"/>
  <c r="X19" i="62"/>
  <c r="Z19" i="62" s="1"/>
  <c r="F36" i="93"/>
  <c r="F25" i="93"/>
  <c r="F24" i="93"/>
  <c r="F22" i="93"/>
  <c r="F29" i="93"/>
  <c r="F33" i="93"/>
  <c r="F27" i="93"/>
  <c r="F15" i="93"/>
  <c r="F20" i="93"/>
  <c r="F16" i="93"/>
  <c r="F21" i="93"/>
  <c r="F36" i="7"/>
  <c r="L24" i="4"/>
  <c r="X25" i="4"/>
  <c r="X25" i="5"/>
  <c r="L15" i="10"/>
  <c r="X16" i="10"/>
  <c r="L21" i="10"/>
  <c r="X25" i="10"/>
  <c r="L21" i="11"/>
  <c r="V16" i="16"/>
  <c r="F31" i="93"/>
  <c r="X15" i="13"/>
  <c r="X25" i="14"/>
  <c r="L13" i="17"/>
  <c r="X20" i="17"/>
  <c r="L24" i="19"/>
  <c r="X15" i="20"/>
  <c r="L20" i="20"/>
  <c r="L29" i="20"/>
  <c r="X33" i="20"/>
  <c r="R16" i="22"/>
  <c r="N12" i="23"/>
  <c r="X13" i="23"/>
  <c r="L22" i="23"/>
  <c r="X21" i="24"/>
  <c r="L16" i="26"/>
  <c r="L22" i="26"/>
  <c r="J29" i="26"/>
  <c r="L16" i="27"/>
  <c r="X29" i="27"/>
  <c r="X34" i="27"/>
  <c r="L15" i="29"/>
  <c r="L29" i="29"/>
  <c r="X16" i="30"/>
  <c r="L34" i="30"/>
  <c r="X20" i="32"/>
  <c r="J36" i="33"/>
  <c r="L22" i="35"/>
  <c r="X24" i="35"/>
  <c r="X29" i="35"/>
  <c r="X13" i="37"/>
  <c r="X22" i="38"/>
  <c r="V29" i="38"/>
  <c r="L22" i="41"/>
  <c r="L21" i="43"/>
  <c r="X34" i="43"/>
  <c r="X20" i="44"/>
  <c r="R24" i="44"/>
  <c r="T102" i="45"/>
  <c r="L13" i="46"/>
  <c r="R18" i="46"/>
  <c r="L13" i="49"/>
  <c r="X21" i="49"/>
  <c r="L13" i="50"/>
  <c r="X15" i="50"/>
  <c r="X24" i="50"/>
  <c r="L16" i="52"/>
  <c r="L22" i="52"/>
  <c r="X24" i="52"/>
  <c r="L34" i="52"/>
  <c r="X16" i="53"/>
  <c r="X22" i="53"/>
  <c r="T75" i="56"/>
  <c r="X18" i="61"/>
  <c r="Z18" i="61" s="1"/>
  <c r="L24" i="64"/>
  <c r="X22" i="71"/>
  <c r="Z22" i="71" s="1"/>
  <c r="X24" i="75"/>
  <c r="X18" i="87"/>
  <c r="J18" i="93"/>
  <c r="X34" i="94"/>
  <c r="V18" i="95"/>
  <c r="L34" i="95"/>
  <c r="L16" i="14"/>
  <c r="L13" i="20"/>
  <c r="X20" i="20"/>
  <c r="L22" i="20"/>
  <c r="L34" i="20"/>
  <c r="R22" i="22"/>
  <c r="J22" i="26"/>
  <c r="X29" i="26"/>
  <c r="F36" i="27"/>
  <c r="X33" i="33"/>
  <c r="L44" i="34"/>
  <c r="X12" i="35"/>
  <c r="L25" i="35"/>
  <c r="L33" i="35"/>
  <c r="R20" i="37"/>
  <c r="L22" i="37"/>
  <c r="T116" i="39"/>
  <c r="F20" i="46"/>
  <c r="L21" i="47"/>
  <c r="L20" i="53"/>
  <c r="X21" i="53"/>
  <c r="L24" i="53"/>
  <c r="X33" i="53"/>
  <c r="T67" i="59"/>
  <c r="L26" i="74"/>
  <c r="L18" i="85"/>
  <c r="N18" i="85" s="1"/>
  <c r="L25" i="88"/>
  <c r="L12" i="93"/>
  <c r="D18" i="93"/>
  <c r="D27" i="93" s="1"/>
  <c r="D31" i="93" s="1"/>
  <c r="X22" i="95"/>
  <c r="L52" i="15"/>
  <c r="F31" i="17"/>
  <c r="V25" i="19"/>
  <c r="F22" i="20"/>
  <c r="F34" i="20"/>
  <c r="L13" i="22"/>
  <c r="X25" i="22"/>
  <c r="X33" i="22"/>
  <c r="Z12" i="23"/>
  <c r="L21" i="23"/>
  <c r="X13" i="24"/>
  <c r="X20" i="24"/>
  <c r="L22" i="24"/>
  <c r="X29" i="24"/>
  <c r="X34" i="24"/>
  <c r="X22" i="26"/>
  <c r="X34" i="26"/>
  <c r="L21" i="27"/>
  <c r="X22" i="27"/>
  <c r="L13" i="29"/>
  <c r="H18" i="29"/>
  <c r="H27" i="29" s="1"/>
  <c r="H31" i="29" s="1"/>
  <c r="L34" i="29"/>
  <c r="L33" i="30"/>
  <c r="X13" i="32"/>
  <c r="L29" i="32"/>
  <c r="L34" i="32"/>
  <c r="X15" i="43"/>
  <c r="L20" i="43"/>
  <c r="X33" i="43"/>
  <c r="X22" i="44"/>
  <c r="N21" i="47"/>
  <c r="X34" i="47"/>
  <c r="F16" i="49"/>
  <c r="L22" i="49"/>
  <c r="L25" i="50"/>
  <c r="L33" i="50"/>
  <c r="X22" i="52"/>
  <c r="L25" i="52"/>
  <c r="X15" i="53"/>
  <c r="H77" i="58"/>
  <c r="D53" i="84"/>
  <c r="Z12" i="95"/>
  <c r="J20" i="95"/>
  <c r="L21" i="95"/>
  <c r="L21" i="13"/>
  <c r="L22" i="14"/>
  <c r="X29" i="14"/>
  <c r="F16" i="19"/>
  <c r="X20" i="19"/>
  <c r="H18" i="26"/>
  <c r="H27" i="26" s="1"/>
  <c r="F36" i="30"/>
  <c r="Z12" i="37"/>
  <c r="X24" i="38"/>
  <c r="T77" i="58"/>
  <c r="D59" i="60"/>
  <c r="X33" i="69"/>
  <c r="Z33" i="69" s="1"/>
  <c r="X25" i="82"/>
  <c r="L18" i="87"/>
  <c r="N18" i="87" s="1"/>
  <c r="Z12" i="14"/>
  <c r="L24" i="16"/>
  <c r="L20" i="17"/>
  <c r="L24" i="17"/>
  <c r="L15" i="19"/>
  <c r="X16" i="20"/>
  <c r="X22" i="20"/>
  <c r="F31" i="20"/>
  <c r="X34" i="20"/>
  <c r="X27" i="21"/>
  <c r="V18" i="23"/>
  <c r="V25" i="23"/>
  <c r="F33" i="23"/>
  <c r="R16" i="24"/>
  <c r="L33" i="26"/>
  <c r="F16" i="30"/>
  <c r="X20" i="30"/>
  <c r="F22" i="30"/>
  <c r="L21" i="32"/>
  <c r="L20" i="35"/>
  <c r="F25" i="37"/>
  <c r="L24" i="46"/>
  <c r="L15" i="49"/>
  <c r="X16" i="49"/>
  <c r="H59" i="60"/>
  <c r="T90" i="83"/>
  <c r="T53" i="84"/>
  <c r="L15" i="93"/>
  <c r="V16" i="95"/>
  <c r="V22" i="95"/>
  <c r="L15" i="13"/>
  <c r="L24" i="13"/>
  <c r="V16" i="14"/>
  <c r="X22" i="14"/>
  <c r="X52" i="15"/>
  <c r="X33" i="16"/>
  <c r="X15" i="17"/>
  <c r="X33" i="17"/>
  <c r="L58" i="18"/>
  <c r="N58" i="18" s="1"/>
  <c r="F15" i="19"/>
  <c r="X16" i="19"/>
  <c r="L33" i="20"/>
  <c r="R20" i="22"/>
  <c r="X24" i="22"/>
  <c r="L20" i="23"/>
  <c r="L29" i="23"/>
  <c r="L21" i="24"/>
  <c r="L29" i="26"/>
  <c r="R21" i="27"/>
  <c r="L34" i="27"/>
  <c r="L16" i="29"/>
  <c r="L29" i="30"/>
  <c r="L25" i="32"/>
  <c r="L15" i="33"/>
  <c r="L25" i="33"/>
  <c r="X29" i="33"/>
  <c r="X34" i="33"/>
  <c r="F20" i="35"/>
  <c r="L29" i="35"/>
  <c r="V15" i="37"/>
  <c r="T18" i="37"/>
  <c r="T27" i="37" s="1"/>
  <c r="Z27" i="37" s="1"/>
  <c r="L22" i="38"/>
  <c r="X29" i="38"/>
  <c r="L16" i="41"/>
  <c r="X29" i="43"/>
  <c r="L34" i="43"/>
  <c r="V15" i="44"/>
  <c r="X24" i="46"/>
  <c r="X33" i="47"/>
  <c r="L21" i="49"/>
  <c r="X21" i="50"/>
  <c r="L13" i="52"/>
  <c r="L16" i="53"/>
  <c r="X29" i="53"/>
  <c r="X18" i="59"/>
  <c r="Z18" i="59" s="1"/>
  <c r="L19" i="62"/>
  <c r="N19" i="62" s="1"/>
  <c r="H59" i="64"/>
  <c r="L22" i="71"/>
  <c r="L24" i="75"/>
  <c r="L22" i="83"/>
  <c r="N22" i="83" s="1"/>
  <c r="X18" i="85"/>
  <c r="Z18" i="85" s="1"/>
  <c r="L13" i="93"/>
  <c r="X15" i="93"/>
  <c r="X33" i="93"/>
  <c r="X15" i="94"/>
  <c r="F22" i="94"/>
  <c r="L34" i="94"/>
  <c r="V15" i="95"/>
  <c r="Z16" i="50"/>
  <c r="X16" i="50"/>
  <c r="L12" i="4"/>
  <c r="F21" i="4"/>
  <c r="R33" i="5"/>
  <c r="J34" i="10"/>
  <c r="H18" i="10"/>
  <c r="J15" i="10"/>
  <c r="J36" i="10"/>
  <c r="J25" i="10"/>
  <c r="J24" i="10"/>
  <c r="J29" i="10"/>
  <c r="J33" i="10"/>
  <c r="L16" i="10"/>
  <c r="X16" i="32"/>
  <c r="J22" i="38"/>
  <c r="J21" i="38"/>
  <c r="H18" i="41"/>
  <c r="V22" i="43"/>
  <c r="V33" i="43"/>
  <c r="V29" i="43"/>
  <c r="V25" i="43"/>
  <c r="T18" i="43"/>
  <c r="T27" i="43" s="1"/>
  <c r="V16" i="43"/>
  <c r="V36" i="43"/>
  <c r="V21" i="43"/>
  <c r="Z12" i="43"/>
  <c r="F34" i="95"/>
  <c r="F18" i="95"/>
  <c r="F22" i="95"/>
  <c r="F16" i="95"/>
  <c r="F15" i="95"/>
  <c r="F20" i="95"/>
  <c r="L20" i="4"/>
  <c r="F22" i="4"/>
  <c r="Z34" i="8"/>
  <c r="X34" i="8"/>
  <c r="J36" i="30"/>
  <c r="J22" i="30"/>
  <c r="N12" i="30"/>
  <c r="L12" i="30"/>
  <c r="V18" i="43"/>
  <c r="N34" i="50"/>
  <c r="L34" i="50"/>
  <c r="V24" i="4"/>
  <c r="V33" i="4"/>
  <c r="V29" i="4"/>
  <c r="V25" i="4"/>
  <c r="V36" i="4"/>
  <c r="V22" i="4"/>
  <c r="V16" i="4"/>
  <c r="X20" i="4"/>
  <c r="X22" i="10"/>
  <c r="V18" i="16"/>
  <c r="V21" i="16"/>
  <c r="Z12" i="16"/>
  <c r="X24" i="17"/>
  <c r="X15" i="24"/>
  <c r="Z13" i="29"/>
  <c r="X13" i="29"/>
  <c r="Z34" i="32"/>
  <c r="X34" i="32"/>
  <c r="X16" i="47"/>
  <c r="Z13" i="8"/>
  <c r="X13" i="8"/>
  <c r="R36" i="53"/>
  <c r="R24" i="53"/>
  <c r="V20" i="4"/>
  <c r="R21" i="4"/>
  <c r="L24" i="24"/>
  <c r="N24" i="24"/>
  <c r="L34" i="24"/>
  <c r="V24" i="29"/>
  <c r="V33" i="29"/>
  <c r="V20" i="29"/>
  <c r="T18" i="29"/>
  <c r="T27" i="29" s="1"/>
  <c r="Z27" i="29" s="1"/>
  <c r="V29" i="29"/>
  <c r="V25" i="29"/>
  <c r="V16" i="29"/>
  <c r="V36" i="29"/>
  <c r="V15" i="29"/>
  <c r="Z12" i="29"/>
  <c r="J15" i="4"/>
  <c r="T18" i="4"/>
  <c r="Z18" i="4" s="1"/>
  <c r="R34" i="5"/>
  <c r="R15" i="5"/>
  <c r="X12" i="5"/>
  <c r="R36" i="5"/>
  <c r="R29" i="5"/>
  <c r="R25" i="5"/>
  <c r="R24" i="5"/>
  <c r="R34" i="7"/>
  <c r="R21" i="7"/>
  <c r="R15" i="7"/>
  <c r="R16" i="7"/>
  <c r="R18" i="7"/>
  <c r="P18" i="7"/>
  <c r="P27" i="7" s="1"/>
  <c r="R36" i="7"/>
  <c r="R33" i="7"/>
  <c r="R29" i="7"/>
  <c r="R25" i="7"/>
  <c r="R22" i="7"/>
  <c r="N20" i="14"/>
  <c r="L20" i="14"/>
  <c r="N16" i="23"/>
  <c r="L16" i="23"/>
  <c r="J24" i="37"/>
  <c r="N33" i="52"/>
  <c r="L33" i="52"/>
  <c r="Z15" i="29"/>
  <c r="X15" i="29"/>
  <c r="F24" i="4"/>
  <c r="F33" i="4"/>
  <c r="F29" i="4"/>
  <c r="F25" i="4"/>
  <c r="V21" i="4"/>
  <c r="F36" i="4"/>
  <c r="J20" i="17"/>
  <c r="J21" i="17"/>
  <c r="J22" i="17"/>
  <c r="N12" i="17"/>
  <c r="F21" i="24"/>
  <c r="F34" i="24"/>
  <c r="F24" i="24"/>
  <c r="F31" i="24"/>
  <c r="F27" i="24"/>
  <c r="F20" i="24"/>
  <c r="F22" i="24"/>
  <c r="F15" i="24"/>
  <c r="F36" i="24"/>
  <c r="F16" i="24"/>
  <c r="F18" i="24"/>
  <c r="F33" i="24"/>
  <c r="F29" i="24"/>
  <c r="F25" i="24"/>
  <c r="L12" i="27"/>
  <c r="J22" i="27"/>
  <c r="N12" i="27"/>
  <c r="L20" i="30"/>
  <c r="V20" i="43"/>
  <c r="X20" i="47"/>
  <c r="V34" i="49"/>
  <c r="V16" i="49"/>
  <c r="V22" i="49"/>
  <c r="Z12" i="49"/>
  <c r="L29" i="4"/>
  <c r="L33" i="4"/>
  <c r="V18" i="5"/>
  <c r="L21" i="5"/>
  <c r="F15" i="7"/>
  <c r="J18" i="7"/>
  <c r="H18" i="8"/>
  <c r="H27" i="8" s="1"/>
  <c r="N27" i="8" s="1"/>
  <c r="L12" i="10"/>
  <c r="X15" i="10"/>
  <c r="T18" i="10"/>
  <c r="T27" i="10" s="1"/>
  <c r="Z27" i="10" s="1"/>
  <c r="V22" i="10"/>
  <c r="F31" i="11"/>
  <c r="F34" i="11"/>
  <c r="R15" i="13"/>
  <c r="V21" i="13"/>
  <c r="F16" i="14"/>
  <c r="H18" i="16"/>
  <c r="H27" i="16" s="1"/>
  <c r="N27" i="16" s="1"/>
  <c r="X22" i="16"/>
  <c r="J27" i="16"/>
  <c r="V16" i="17"/>
  <c r="F27" i="17"/>
  <c r="V31" i="17"/>
  <c r="D18" i="19"/>
  <c r="D27" i="19" s="1"/>
  <c r="F22" i="19"/>
  <c r="F24" i="19"/>
  <c r="F33" i="19"/>
  <c r="F27" i="20"/>
  <c r="V31" i="20"/>
  <c r="R24" i="22"/>
  <c r="R25" i="22"/>
  <c r="R29" i="22"/>
  <c r="R33" i="22"/>
  <c r="R36" i="22"/>
  <c r="V21" i="23"/>
  <c r="F36" i="23"/>
  <c r="L12" i="24"/>
  <c r="R21" i="24"/>
  <c r="X22" i="24"/>
  <c r="J15" i="26"/>
  <c r="F16" i="26"/>
  <c r="T18" i="26"/>
  <c r="V20" i="26"/>
  <c r="X21" i="26"/>
  <c r="J36" i="26"/>
  <c r="F18" i="27"/>
  <c r="R20" i="27"/>
  <c r="R22" i="27"/>
  <c r="R24" i="27"/>
  <c r="J31" i="29"/>
  <c r="J36" i="29"/>
  <c r="D18" i="30"/>
  <c r="F27" i="30"/>
  <c r="F31" i="30"/>
  <c r="V36" i="30"/>
  <c r="R15" i="32"/>
  <c r="V16" i="32"/>
  <c r="R29" i="33"/>
  <c r="J33" i="33"/>
  <c r="R36" i="33"/>
  <c r="X16" i="35"/>
  <c r="F21" i="35"/>
  <c r="F22" i="35"/>
  <c r="L12" i="37"/>
  <c r="R16" i="37"/>
  <c r="V18" i="37"/>
  <c r="X20" i="37"/>
  <c r="R21" i="37"/>
  <c r="F36" i="37"/>
  <c r="L15" i="38"/>
  <c r="L16" i="38"/>
  <c r="R21" i="38"/>
  <c r="L25" i="38"/>
  <c r="V27" i="38"/>
  <c r="F31" i="38"/>
  <c r="V33" i="38"/>
  <c r="V34" i="38"/>
  <c r="J31" i="40"/>
  <c r="J15" i="41"/>
  <c r="V20" i="41"/>
  <c r="X15" i="44"/>
  <c r="V16" i="44"/>
  <c r="V25" i="44"/>
  <c r="R15" i="47"/>
  <c r="V16" i="47"/>
  <c r="V20" i="47"/>
  <c r="V16" i="50"/>
  <c r="V31" i="50"/>
  <c r="X16" i="52"/>
  <c r="F33" i="94"/>
  <c r="X20" i="95"/>
  <c r="R21" i="95"/>
  <c r="R24" i="95"/>
  <c r="L29" i="95"/>
  <c r="V22" i="8"/>
  <c r="V21" i="10"/>
  <c r="P18" i="11"/>
  <c r="P27" i="11" s="1"/>
  <c r="F27" i="11"/>
  <c r="V31" i="11"/>
  <c r="T18" i="13"/>
  <c r="T27" i="13" s="1"/>
  <c r="V25" i="13"/>
  <c r="V29" i="13"/>
  <c r="V33" i="13"/>
  <c r="F15" i="14"/>
  <c r="J18" i="16"/>
  <c r="J31" i="16"/>
  <c r="J36" i="16"/>
  <c r="F18" i="17"/>
  <c r="V27" i="17"/>
  <c r="F18" i="19"/>
  <c r="F29" i="19"/>
  <c r="V15" i="20"/>
  <c r="X21" i="20"/>
  <c r="V27" i="20"/>
  <c r="J18" i="22"/>
  <c r="X16" i="23"/>
  <c r="F20" i="23"/>
  <c r="F21" i="23"/>
  <c r="F25" i="23"/>
  <c r="J27" i="23"/>
  <c r="J33" i="23"/>
  <c r="J34" i="23"/>
  <c r="J36" i="23"/>
  <c r="R20" i="24"/>
  <c r="R22" i="24"/>
  <c r="V18" i="26"/>
  <c r="V25" i="26"/>
  <c r="J33" i="26"/>
  <c r="J34" i="26"/>
  <c r="V36" i="26"/>
  <c r="D18" i="27"/>
  <c r="D27" i="27" s="1"/>
  <c r="F16" i="27"/>
  <c r="R18" i="27"/>
  <c r="X20" i="27"/>
  <c r="F21" i="29"/>
  <c r="J25" i="29"/>
  <c r="L33" i="29"/>
  <c r="R15" i="30"/>
  <c r="L16" i="30"/>
  <c r="F18" i="30"/>
  <c r="F24" i="30"/>
  <c r="F34" i="30"/>
  <c r="V20" i="32"/>
  <c r="R22" i="32"/>
  <c r="X24" i="32"/>
  <c r="R33" i="32"/>
  <c r="N12" i="33"/>
  <c r="J21" i="33"/>
  <c r="J24" i="33"/>
  <c r="J27" i="33"/>
  <c r="J34" i="33"/>
  <c r="V36" i="33"/>
  <c r="F24" i="35"/>
  <c r="X16" i="37"/>
  <c r="V20" i="37"/>
  <c r="V22" i="37"/>
  <c r="V33" i="37"/>
  <c r="V36" i="37"/>
  <c r="V22" i="38"/>
  <c r="L29" i="38"/>
  <c r="V31" i="38"/>
  <c r="J18" i="40"/>
  <c r="R20" i="40"/>
  <c r="J27" i="40"/>
  <c r="J34" i="40"/>
  <c r="X15" i="41"/>
  <c r="T18" i="41"/>
  <c r="T27" i="41" s="1"/>
  <c r="V25" i="41"/>
  <c r="V29" i="41"/>
  <c r="V33" i="41"/>
  <c r="F20" i="43"/>
  <c r="L24" i="43"/>
  <c r="F25" i="43"/>
  <c r="F29" i="43"/>
  <c r="F33" i="43"/>
  <c r="V21" i="44"/>
  <c r="V22" i="44"/>
  <c r="V29" i="44"/>
  <c r="V34" i="44"/>
  <c r="R22" i="47"/>
  <c r="R25" i="47"/>
  <c r="R29" i="47"/>
  <c r="F20" i="49"/>
  <c r="R15" i="50"/>
  <c r="V27" i="50"/>
  <c r="J29" i="52"/>
  <c r="R16" i="93"/>
  <c r="X20" i="93"/>
  <c r="X22" i="93"/>
  <c r="R24" i="93"/>
  <c r="F16" i="94"/>
  <c r="F18" i="94"/>
  <c r="X24" i="94"/>
  <c r="F36" i="94"/>
  <c r="R16" i="95"/>
  <c r="L34" i="4"/>
  <c r="L13" i="7"/>
  <c r="L34" i="7"/>
  <c r="F16" i="8"/>
  <c r="F20" i="8"/>
  <c r="F21" i="8"/>
  <c r="V15" i="10"/>
  <c r="F20" i="10"/>
  <c r="L24" i="10"/>
  <c r="R15" i="11"/>
  <c r="V22" i="11"/>
  <c r="V27" i="11"/>
  <c r="L33" i="11"/>
  <c r="N12" i="13"/>
  <c r="X13" i="13"/>
  <c r="V15" i="13"/>
  <c r="L22" i="13"/>
  <c r="V34" i="13"/>
  <c r="F18" i="14"/>
  <c r="J22" i="14"/>
  <c r="J24" i="14"/>
  <c r="R29" i="14"/>
  <c r="L16" i="16"/>
  <c r="L20" i="16"/>
  <c r="F21" i="16"/>
  <c r="J25" i="16"/>
  <c r="L16" i="17"/>
  <c r="V18" i="17"/>
  <c r="F22" i="17"/>
  <c r="X15" i="19"/>
  <c r="R18" i="19"/>
  <c r="R20" i="19"/>
  <c r="J24" i="19"/>
  <c r="F25" i="19"/>
  <c r="L16" i="22"/>
  <c r="P18" i="22"/>
  <c r="L22" i="22"/>
  <c r="F24" i="22"/>
  <c r="V15" i="23"/>
  <c r="L24" i="23"/>
  <c r="V27" i="23"/>
  <c r="V29" i="23"/>
  <c r="V36" i="23"/>
  <c r="R18" i="24"/>
  <c r="R24" i="24"/>
  <c r="L12" i="26"/>
  <c r="N13" i="26"/>
  <c r="X15" i="26"/>
  <c r="V21" i="26"/>
  <c r="L25" i="26"/>
  <c r="F15" i="27"/>
  <c r="V18" i="27"/>
  <c r="Z20" i="27"/>
  <c r="L22" i="27"/>
  <c r="F31" i="27"/>
  <c r="F34" i="27"/>
  <c r="J29" i="29"/>
  <c r="R18" i="30"/>
  <c r="X21" i="30"/>
  <c r="L24" i="30"/>
  <c r="F25" i="30"/>
  <c r="F29" i="30"/>
  <c r="F33" i="30"/>
  <c r="Z24" i="32"/>
  <c r="R36" i="32"/>
  <c r="R15" i="33"/>
  <c r="J25" i="33"/>
  <c r="V27" i="33"/>
  <c r="V29" i="33"/>
  <c r="V16" i="35"/>
  <c r="L15" i="37"/>
  <c r="V16" i="37"/>
  <c r="F20" i="37"/>
  <c r="Z20" i="37"/>
  <c r="R24" i="37"/>
  <c r="V29" i="37"/>
  <c r="X12" i="38"/>
  <c r="F34" i="38"/>
  <c r="R36" i="38"/>
  <c r="L15" i="40"/>
  <c r="J16" i="40"/>
  <c r="P18" i="40"/>
  <c r="P27" i="40" s="1"/>
  <c r="X16" i="41"/>
  <c r="V21" i="41"/>
  <c r="F36" i="41"/>
  <c r="F15" i="43"/>
  <c r="X12" i="44"/>
  <c r="L16" i="44"/>
  <c r="F18" i="44"/>
  <c r="F27" i="44"/>
  <c r="R15" i="46"/>
  <c r="V16" i="46"/>
  <c r="X12" i="47"/>
  <c r="X13" i="47"/>
  <c r="P18" i="47"/>
  <c r="V21" i="47"/>
  <c r="R33" i="47"/>
  <c r="V34" i="47"/>
  <c r="R16" i="49"/>
  <c r="R18" i="50"/>
  <c r="X13" i="52"/>
  <c r="L24" i="52"/>
  <c r="J25" i="52"/>
  <c r="J15" i="53"/>
  <c r="X20" i="53"/>
  <c r="V21" i="53"/>
  <c r="N12" i="93"/>
  <c r="X13" i="93"/>
  <c r="R20" i="93"/>
  <c r="R22" i="93"/>
  <c r="F15" i="94"/>
  <c r="R18" i="94"/>
  <c r="V22" i="94"/>
  <c r="R24" i="94"/>
  <c r="X16" i="95"/>
  <c r="Z20" i="95"/>
  <c r="L13" i="5"/>
  <c r="L34" i="5"/>
  <c r="F24" i="7"/>
  <c r="F25" i="7"/>
  <c r="F29" i="7"/>
  <c r="F33" i="7"/>
  <c r="F22" i="8"/>
  <c r="L24" i="8"/>
  <c r="V16" i="10"/>
  <c r="F21" i="10"/>
  <c r="X33" i="10"/>
  <c r="F18" i="11"/>
  <c r="P18" i="13"/>
  <c r="L12" i="14"/>
  <c r="J18" i="14"/>
  <c r="R20" i="14"/>
  <c r="J15" i="16"/>
  <c r="F16" i="16"/>
  <c r="F20" i="16"/>
  <c r="J29" i="16"/>
  <c r="X12" i="17"/>
  <c r="F16" i="17"/>
  <c r="F21" i="17"/>
  <c r="F24" i="17"/>
  <c r="V34" i="17"/>
  <c r="T18" i="19"/>
  <c r="T27" i="19" s="1"/>
  <c r="R21" i="19"/>
  <c r="R22" i="19"/>
  <c r="F36" i="19"/>
  <c r="V21" i="20"/>
  <c r="L25" i="20"/>
  <c r="R18" i="22"/>
  <c r="J27" i="22"/>
  <c r="J31" i="22"/>
  <c r="V16" i="23"/>
  <c r="J21" i="23"/>
  <c r="J25" i="23"/>
  <c r="R34" i="23"/>
  <c r="D18" i="24"/>
  <c r="D27" i="24" s="1"/>
  <c r="V18" i="24"/>
  <c r="V22" i="24"/>
  <c r="N12" i="26"/>
  <c r="X16" i="26"/>
  <c r="F20" i="26"/>
  <c r="F21" i="26"/>
  <c r="F25" i="26"/>
  <c r="J27" i="26"/>
  <c r="V29" i="26"/>
  <c r="X33" i="26"/>
  <c r="L20" i="27"/>
  <c r="F22" i="27"/>
  <c r="L24" i="27"/>
  <c r="F27" i="27"/>
  <c r="F15" i="29"/>
  <c r="D18" i="29"/>
  <c r="D27" i="29" s="1"/>
  <c r="D31" i="29" s="1"/>
  <c r="J21" i="29"/>
  <c r="J22" i="29"/>
  <c r="J24" i="29"/>
  <c r="J33" i="29"/>
  <c r="J34" i="29"/>
  <c r="V15" i="30"/>
  <c r="T18" i="30"/>
  <c r="T27" i="30" s="1"/>
  <c r="Z27" i="30" s="1"/>
  <c r="R20" i="30"/>
  <c r="R21" i="30"/>
  <c r="R22" i="30"/>
  <c r="P18" i="32"/>
  <c r="P27" i="32" s="1"/>
  <c r="V22" i="32"/>
  <c r="V16" i="33"/>
  <c r="J22" i="33"/>
  <c r="R33" i="33"/>
  <c r="X20" i="35"/>
  <c r="X21" i="35"/>
  <c r="F15" i="37"/>
  <c r="F16" i="37"/>
  <c r="Z16" i="37"/>
  <c r="V25" i="37"/>
  <c r="F31" i="37"/>
  <c r="F34" i="37"/>
  <c r="V36" i="38"/>
  <c r="R18" i="40"/>
  <c r="V15" i="41"/>
  <c r="J36" i="41"/>
  <c r="L13" i="43"/>
  <c r="F16" i="43"/>
  <c r="D18" i="43"/>
  <c r="F21" i="43"/>
  <c r="J24" i="43"/>
  <c r="J25" i="43"/>
  <c r="J29" i="43"/>
  <c r="J33" i="43"/>
  <c r="Z12" i="44"/>
  <c r="F15" i="44"/>
  <c r="F16" i="44"/>
  <c r="R18" i="44"/>
  <c r="V27" i="44"/>
  <c r="F31" i="44"/>
  <c r="F34" i="44"/>
  <c r="X12" i="46"/>
  <c r="V20" i="46"/>
  <c r="X21" i="46"/>
  <c r="Z12" i="47"/>
  <c r="Z13" i="47"/>
  <c r="V18" i="47"/>
  <c r="V22" i="47"/>
  <c r="J27" i="47"/>
  <c r="R15" i="49"/>
  <c r="J20" i="49"/>
  <c r="F22" i="49"/>
  <c r="X13" i="50"/>
  <c r="H18" i="52"/>
  <c r="H27" i="52" s="1"/>
  <c r="N27" i="52" s="1"/>
  <c r="X29" i="52"/>
  <c r="L34" i="93"/>
  <c r="L13" i="94"/>
  <c r="F29" i="94"/>
  <c r="L22" i="95"/>
  <c r="X33" i="4"/>
  <c r="F15" i="10"/>
  <c r="X15" i="11"/>
  <c r="R18" i="11"/>
  <c r="F22" i="11"/>
  <c r="Z15" i="13"/>
  <c r="V18" i="13"/>
  <c r="X22" i="13"/>
  <c r="V27" i="13"/>
  <c r="V31" i="13"/>
  <c r="V36" i="13"/>
  <c r="N12" i="14"/>
  <c r="R15" i="14"/>
  <c r="R18" i="14"/>
  <c r="R22" i="14"/>
  <c r="J21" i="16"/>
  <c r="J24" i="16"/>
  <c r="L29" i="16"/>
  <c r="J33" i="16"/>
  <c r="J34" i="16"/>
  <c r="F20" i="17"/>
  <c r="L12" i="19"/>
  <c r="V15" i="19"/>
  <c r="R16" i="19"/>
  <c r="V20" i="19"/>
  <c r="L25" i="19"/>
  <c r="V36" i="19"/>
  <c r="L15" i="20"/>
  <c r="V22" i="20"/>
  <c r="L15" i="22"/>
  <c r="L20" i="22"/>
  <c r="L21" i="22"/>
  <c r="J22" i="22"/>
  <c r="J24" i="22"/>
  <c r="F15" i="23"/>
  <c r="D18" i="23"/>
  <c r="D27" i="23" s="1"/>
  <c r="X20" i="23"/>
  <c r="J24" i="23"/>
  <c r="F29" i="23"/>
  <c r="J31" i="23"/>
  <c r="X12" i="24"/>
  <c r="L20" i="24"/>
  <c r="V15" i="26"/>
  <c r="V27" i="26"/>
  <c r="F20" i="27"/>
  <c r="F24" i="27"/>
  <c r="F33" i="27"/>
  <c r="L12" i="29"/>
  <c r="F18" i="29"/>
  <c r="X20" i="29"/>
  <c r="X24" i="29"/>
  <c r="X12" i="30"/>
  <c r="R16" i="30"/>
  <c r="V18" i="30"/>
  <c r="Z12" i="32"/>
  <c r="R18" i="32"/>
  <c r="L22" i="32"/>
  <c r="R29" i="32"/>
  <c r="X12" i="33"/>
  <c r="V15" i="33"/>
  <c r="V20" i="33"/>
  <c r="J31" i="33"/>
  <c r="V34" i="33"/>
  <c r="X13" i="35"/>
  <c r="F16" i="35"/>
  <c r="F18" i="35"/>
  <c r="X22" i="35"/>
  <c r="D18" i="37"/>
  <c r="D27" i="37" s="1"/>
  <c r="F22" i="37"/>
  <c r="L24" i="37"/>
  <c r="F27" i="37"/>
  <c r="L13" i="38"/>
  <c r="R15" i="38"/>
  <c r="P18" i="38"/>
  <c r="P27" i="38" s="1"/>
  <c r="R25" i="38"/>
  <c r="L20" i="40"/>
  <c r="L22" i="40"/>
  <c r="R33" i="40"/>
  <c r="R36" i="40"/>
  <c r="V16" i="41"/>
  <c r="F21" i="41"/>
  <c r="F25" i="41"/>
  <c r="F29" i="41"/>
  <c r="F33" i="41"/>
  <c r="V36" i="41"/>
  <c r="L12" i="43"/>
  <c r="N13" i="43"/>
  <c r="J15" i="43"/>
  <c r="F18" i="43"/>
  <c r="V18" i="44"/>
  <c r="L21" i="44"/>
  <c r="F22" i="44"/>
  <c r="F25" i="44"/>
  <c r="L29" i="44"/>
  <c r="V31" i="44"/>
  <c r="V22" i="46"/>
  <c r="L15" i="47"/>
  <c r="V27" i="47"/>
  <c r="J31" i="47"/>
  <c r="X12" i="50"/>
  <c r="J18" i="52"/>
  <c r="L13" i="53"/>
  <c r="L24" i="95"/>
  <c r="L25" i="95"/>
  <c r="L33" i="95"/>
  <c r="X34" i="95"/>
  <c r="L29" i="7"/>
  <c r="L33" i="7"/>
  <c r="D18" i="10"/>
  <c r="X20" i="10"/>
  <c r="V18" i="11"/>
  <c r="V34" i="11"/>
  <c r="R16" i="14"/>
  <c r="V20" i="14"/>
  <c r="R21" i="14"/>
  <c r="X24" i="14"/>
  <c r="R25" i="14"/>
  <c r="X16" i="16"/>
  <c r="X20" i="16"/>
  <c r="X24" i="16"/>
  <c r="X25" i="16"/>
  <c r="L22" i="17"/>
  <c r="F20" i="19"/>
  <c r="X21" i="19"/>
  <c r="X22" i="19"/>
  <c r="R24" i="19"/>
  <c r="V33" i="19"/>
  <c r="X12" i="20"/>
  <c r="L21" i="20"/>
  <c r="L24" i="20"/>
  <c r="V34" i="20"/>
  <c r="J34" i="22"/>
  <c r="H18" i="23"/>
  <c r="N18" i="23" s="1"/>
  <c r="J22" i="23"/>
  <c r="X24" i="23"/>
  <c r="X25" i="23"/>
  <c r="V31" i="23"/>
  <c r="V33" i="23"/>
  <c r="V34" i="23"/>
  <c r="L15" i="26"/>
  <c r="V16" i="26"/>
  <c r="L20" i="26"/>
  <c r="J21" i="26"/>
  <c r="J25" i="26"/>
  <c r="J31" i="26"/>
  <c r="V33" i="26"/>
  <c r="V34" i="26"/>
  <c r="R16" i="27"/>
  <c r="F29" i="27"/>
  <c r="L15" i="30"/>
  <c r="V20" i="30"/>
  <c r="V22" i="30"/>
  <c r="R24" i="30"/>
  <c r="L20" i="32"/>
  <c r="F22" i="32"/>
  <c r="Z12" i="33"/>
  <c r="P18" i="33"/>
  <c r="P27" i="33" s="1"/>
  <c r="R22" i="33"/>
  <c r="R25" i="33"/>
  <c r="J29" i="33"/>
  <c r="V31" i="33"/>
  <c r="V33" i="33"/>
  <c r="Z12" i="35"/>
  <c r="R18" i="35"/>
  <c r="V21" i="35"/>
  <c r="X15" i="37"/>
  <c r="F18" i="37"/>
  <c r="F24" i="37"/>
  <c r="L29" i="37"/>
  <c r="F33" i="37"/>
  <c r="T18" i="38"/>
  <c r="T27" i="38" s="1"/>
  <c r="R18" i="38"/>
  <c r="F22" i="38"/>
  <c r="R29" i="38"/>
  <c r="X33" i="38"/>
  <c r="R15" i="40"/>
  <c r="R16" i="40"/>
  <c r="R29" i="40"/>
  <c r="L15" i="41"/>
  <c r="J24" i="41"/>
  <c r="H18" i="43"/>
  <c r="H27" i="43" s="1"/>
  <c r="X20" i="43"/>
  <c r="L20" i="44"/>
  <c r="F21" i="44"/>
  <c r="F29" i="44"/>
  <c r="Z12" i="46"/>
  <c r="J21" i="47"/>
  <c r="L25" i="47"/>
  <c r="L29" i="47"/>
  <c r="V31" i="47"/>
  <c r="R36" i="47"/>
  <c r="X24" i="49"/>
  <c r="L29" i="49"/>
  <c r="Z12" i="50"/>
  <c r="F16" i="52"/>
  <c r="L20" i="52"/>
  <c r="F18" i="53"/>
  <c r="L33" i="53"/>
  <c r="L20" i="93"/>
  <c r="L21" i="93"/>
  <c r="L24" i="93"/>
  <c r="L21" i="94"/>
  <c r="L24" i="94"/>
  <c r="X13" i="5"/>
  <c r="F18" i="5"/>
  <c r="L22" i="5"/>
  <c r="L12" i="7"/>
  <c r="X24" i="7"/>
  <c r="V16" i="8"/>
  <c r="V20" i="8"/>
  <c r="F16" i="10"/>
  <c r="X24" i="10"/>
  <c r="V29" i="10"/>
  <c r="X12" i="11"/>
  <c r="X13" i="11"/>
  <c r="L16" i="11"/>
  <c r="L20" i="11"/>
  <c r="J21" i="11"/>
  <c r="J22" i="11"/>
  <c r="L16" i="13"/>
  <c r="X21" i="13"/>
  <c r="V22" i="13"/>
  <c r="F20" i="14"/>
  <c r="R24" i="14"/>
  <c r="R36" i="14"/>
  <c r="X15" i="16"/>
  <c r="X29" i="16"/>
  <c r="X16" i="17"/>
  <c r="X21" i="17"/>
  <c r="R24" i="17"/>
  <c r="V16" i="19"/>
  <c r="V29" i="19"/>
  <c r="F21" i="20"/>
  <c r="X25" i="20"/>
  <c r="R15" i="22"/>
  <c r="L13" i="23"/>
  <c r="J15" i="23"/>
  <c r="F16" i="23"/>
  <c r="T18" i="23"/>
  <c r="T27" i="23" s="1"/>
  <c r="T31" i="23" s="1"/>
  <c r="V20" i="23"/>
  <c r="X21" i="23"/>
  <c r="J29" i="23"/>
  <c r="J22" i="24"/>
  <c r="V27" i="24"/>
  <c r="V31" i="24"/>
  <c r="Z12" i="26"/>
  <c r="F15" i="26"/>
  <c r="D18" i="26"/>
  <c r="D27" i="26" s="1"/>
  <c r="X20" i="26"/>
  <c r="J24" i="26"/>
  <c r="V31" i="26"/>
  <c r="X16" i="27"/>
  <c r="F25" i="27"/>
  <c r="F15" i="30"/>
  <c r="V16" i="30"/>
  <c r="F20" i="30"/>
  <c r="Z20" i="30"/>
  <c r="L22" i="30"/>
  <c r="V25" i="30"/>
  <c r="V29" i="30"/>
  <c r="V33" i="30"/>
  <c r="L13" i="32"/>
  <c r="R16" i="32"/>
  <c r="X25" i="32"/>
  <c r="L33" i="32"/>
  <c r="T18" i="33"/>
  <c r="T27" i="33" s="1"/>
  <c r="Z27" i="33" s="1"/>
  <c r="V21" i="33"/>
  <c r="L33" i="33"/>
  <c r="L15" i="35"/>
  <c r="V22" i="35"/>
  <c r="R15" i="37"/>
  <c r="R18" i="37"/>
  <c r="L21" i="37"/>
  <c r="F29" i="37"/>
  <c r="X13" i="38"/>
  <c r="V15" i="38"/>
  <c r="L20" i="38"/>
  <c r="V25" i="38"/>
  <c r="R33" i="38"/>
  <c r="X34" i="38"/>
  <c r="L13" i="40"/>
  <c r="J20" i="40"/>
  <c r="X24" i="40"/>
  <c r="R25" i="40"/>
  <c r="Z12" i="41"/>
  <c r="F15" i="41"/>
  <c r="D18" i="41"/>
  <c r="D27" i="41" s="1"/>
  <c r="X20" i="41"/>
  <c r="J25" i="41"/>
  <c r="J29" i="41"/>
  <c r="J33" i="41"/>
  <c r="F36" i="43"/>
  <c r="X16" i="44"/>
  <c r="J22" i="44"/>
  <c r="L15" i="46"/>
  <c r="F16" i="46"/>
  <c r="J24" i="47"/>
  <c r="L33" i="47"/>
  <c r="X12" i="49"/>
  <c r="R22" i="49"/>
  <c r="V22" i="50"/>
  <c r="J15" i="52"/>
  <c r="F20" i="52"/>
  <c r="F21" i="52"/>
  <c r="N12" i="53"/>
  <c r="V18" i="53"/>
  <c r="J22" i="53"/>
  <c r="X34" i="53"/>
  <c r="X13" i="94"/>
  <c r="X16" i="94"/>
  <c r="F21" i="94"/>
  <c r="F24" i="94"/>
  <c r="F25" i="94"/>
  <c r="F172" i="3"/>
  <c r="F156" i="3"/>
  <c r="F149" i="3"/>
  <c r="F141" i="3"/>
  <c r="F136" i="3"/>
  <c r="F124" i="3"/>
  <c r="F121" i="3"/>
  <c r="F116" i="3"/>
  <c r="F113" i="3"/>
  <c r="F109" i="3"/>
  <c r="F169" i="3"/>
  <c r="F184" i="3"/>
  <c r="F174" i="3"/>
  <c r="F155" i="3"/>
  <c r="F147" i="3"/>
  <c r="F143" i="3"/>
  <c r="F139" i="3"/>
  <c r="F135" i="3"/>
  <c r="F126" i="3"/>
  <c r="F123" i="3"/>
  <c r="F118" i="3"/>
  <c r="F115" i="3"/>
  <c r="F111" i="3"/>
  <c r="F99" i="3"/>
  <c r="F176" i="3"/>
  <c r="F173" i="3"/>
  <c r="F164" i="3"/>
  <c r="F160" i="3"/>
  <c r="F152" i="3"/>
  <c r="F132" i="3"/>
  <c r="F128" i="3"/>
  <c r="F107" i="3"/>
  <c r="F104" i="3"/>
  <c r="F185" i="3"/>
  <c r="F170" i="3"/>
  <c r="F168" i="3"/>
  <c r="F163" i="3"/>
  <c r="F151" i="3"/>
  <c r="F142" i="3"/>
  <c r="F127" i="3"/>
  <c r="F122" i="3"/>
  <c r="F119" i="3"/>
  <c r="F114" i="3"/>
  <c r="F110" i="3"/>
  <c r="F157" i="3"/>
  <c r="F137" i="3"/>
  <c r="F130" i="3"/>
  <c r="F106" i="3"/>
  <c r="F93" i="3"/>
  <c r="F90" i="3"/>
  <c r="F86" i="3"/>
  <c r="F74" i="3"/>
  <c r="D64" i="3"/>
  <c r="F62" i="3"/>
  <c r="F54" i="3"/>
  <c r="F38" i="3"/>
  <c r="L12" i="3"/>
  <c r="N12" i="3" s="1"/>
  <c r="F49" i="3"/>
  <c r="F158" i="3"/>
  <c r="F138" i="3"/>
  <c r="F131" i="3"/>
  <c r="F125" i="3"/>
  <c r="F105" i="3"/>
  <c r="F85" i="3"/>
  <c r="F73" i="3"/>
  <c r="F61" i="3"/>
  <c r="F53" i="3"/>
  <c r="F45" i="3"/>
  <c r="F37" i="3"/>
  <c r="F29" i="3"/>
  <c r="F98" i="3"/>
  <c r="F33" i="3"/>
  <c r="F162" i="3"/>
  <c r="F159" i="3"/>
  <c r="F153" i="3"/>
  <c r="F133" i="3"/>
  <c r="F103" i="3"/>
  <c r="F102" i="3"/>
  <c r="F95" i="3"/>
  <c r="F92" i="3"/>
  <c r="F84" i="3"/>
  <c r="F72" i="3"/>
  <c r="F67" i="3"/>
  <c r="F66" i="3"/>
  <c r="F60" i="3"/>
  <c r="F52" i="3"/>
  <c r="F44" i="3"/>
  <c r="F36" i="3"/>
  <c r="F28" i="3"/>
  <c r="F51" i="3"/>
  <c r="F77" i="3"/>
  <c r="F165" i="3"/>
  <c r="F161" i="3"/>
  <c r="F154" i="3"/>
  <c r="F150" i="3"/>
  <c r="F146" i="3"/>
  <c r="F144" i="3"/>
  <c r="F134" i="3"/>
  <c r="F117" i="3"/>
  <c r="F83" i="3"/>
  <c r="F78" i="3"/>
  <c r="F71" i="3"/>
  <c r="F59" i="3"/>
  <c r="F43" i="3"/>
  <c r="F35" i="3"/>
  <c r="F180" i="3"/>
  <c r="F175" i="3"/>
  <c r="F171" i="3"/>
  <c r="F166" i="3"/>
  <c r="F101" i="3"/>
  <c r="F100" i="3"/>
  <c r="F94" i="3"/>
  <c r="F89" i="3"/>
  <c r="F82" i="3"/>
  <c r="F70" i="3"/>
  <c r="F58" i="3"/>
  <c r="F50" i="3"/>
  <c r="F42" i="3"/>
  <c r="F34" i="3"/>
  <c r="F57" i="3"/>
  <c r="F145" i="3"/>
  <c r="F140" i="3"/>
  <c r="F120" i="3"/>
  <c r="F112" i="3"/>
  <c r="F81" i="3"/>
  <c r="F69" i="3"/>
  <c r="F97" i="3"/>
  <c r="F96" i="3"/>
  <c r="F91" i="3"/>
  <c r="F88" i="3"/>
  <c r="F80" i="3"/>
  <c r="F76" i="3"/>
  <c r="F68" i="3"/>
  <c r="F56" i="3"/>
  <c r="F48" i="3"/>
  <c r="F40" i="3"/>
  <c r="F32" i="3"/>
  <c r="F27" i="3"/>
  <c r="F46" i="3"/>
  <c r="F41" i="3"/>
  <c r="F148" i="3"/>
  <c r="F129" i="3"/>
  <c r="F108" i="3"/>
  <c r="F87" i="3"/>
  <c r="F79" i="3"/>
  <c r="F75" i="3"/>
  <c r="F64" i="3"/>
  <c r="F55" i="3"/>
  <c r="F47" i="3"/>
  <c r="F39" i="3"/>
  <c r="F31" i="3"/>
  <c r="F30" i="3"/>
  <c r="Z67" i="3"/>
  <c r="N66" i="3"/>
  <c r="Z95" i="3"/>
  <c r="N89" i="3"/>
  <c r="V170" i="3"/>
  <c r="V164" i="3"/>
  <c r="V160" i="3"/>
  <c r="V156" i="3"/>
  <c r="V152" i="3"/>
  <c r="V136" i="3"/>
  <c r="V132" i="3"/>
  <c r="V128" i="3"/>
  <c r="V124" i="3"/>
  <c r="V116" i="3"/>
  <c r="V104" i="3"/>
  <c r="V175" i="3"/>
  <c r="V163" i="3"/>
  <c r="V184" i="3"/>
  <c r="V180" i="3"/>
  <c r="V172" i="3"/>
  <c r="V166" i="3"/>
  <c r="V162" i="3"/>
  <c r="V150" i="3"/>
  <c r="V126" i="3"/>
  <c r="V118" i="3"/>
  <c r="V106" i="3"/>
  <c r="V174" i="3"/>
  <c r="V171" i="3"/>
  <c r="V155" i="3"/>
  <c r="V147" i="3"/>
  <c r="V143" i="3"/>
  <c r="V139" i="3"/>
  <c r="V135" i="3"/>
  <c r="V123" i="3"/>
  <c r="V115" i="3"/>
  <c r="V111" i="3"/>
  <c r="V107" i="3"/>
  <c r="V99" i="3"/>
  <c r="V185" i="3"/>
  <c r="V176" i="3"/>
  <c r="V168" i="3"/>
  <c r="V158" i="3"/>
  <c r="V154" i="3"/>
  <c r="V146" i="3"/>
  <c r="V142" i="3"/>
  <c r="V138" i="3"/>
  <c r="V134" i="3"/>
  <c r="V130" i="3"/>
  <c r="V122" i="3"/>
  <c r="V114" i="3"/>
  <c r="V110" i="3"/>
  <c r="V44" i="3"/>
  <c r="V41" i="3"/>
  <c r="J30" i="3"/>
  <c r="V34" i="3"/>
  <c r="J38" i="3"/>
  <c r="V42" i="3"/>
  <c r="J46" i="3"/>
  <c r="V50" i="3"/>
  <c r="J54" i="3"/>
  <c r="V58" i="3"/>
  <c r="J62" i="3"/>
  <c r="J66" i="3"/>
  <c r="V66" i="3"/>
  <c r="V70" i="3"/>
  <c r="J74" i="3"/>
  <c r="V82" i="3"/>
  <c r="J86" i="3"/>
  <c r="J90" i="3"/>
  <c r="V94" i="3"/>
  <c r="V102" i="3"/>
  <c r="J105" i="3"/>
  <c r="J106" i="3"/>
  <c r="J107" i="3"/>
  <c r="V109" i="3"/>
  <c r="X110" i="3"/>
  <c r="Z110" i="3" s="1"/>
  <c r="J113" i="3"/>
  <c r="N114" i="3"/>
  <c r="V117" i="3"/>
  <c r="Z118" i="3"/>
  <c r="J131" i="3"/>
  <c r="J132" i="3"/>
  <c r="J137" i="3"/>
  <c r="J142" i="3"/>
  <c r="V149" i="3"/>
  <c r="J152" i="3"/>
  <c r="L156" i="3"/>
  <c r="N156" i="3" s="1"/>
  <c r="J157" i="3"/>
  <c r="T22" i="6"/>
  <c r="Z16" i="6"/>
  <c r="V33" i="3"/>
  <c r="P12" i="3"/>
  <c r="V27" i="3"/>
  <c r="J31" i="3"/>
  <c r="V35" i="3"/>
  <c r="J39" i="3"/>
  <c r="V43" i="3"/>
  <c r="J47" i="3"/>
  <c r="V51" i="3"/>
  <c r="J55" i="3"/>
  <c r="V59" i="3"/>
  <c r="H64" i="3"/>
  <c r="V71" i="3"/>
  <c r="J75" i="3"/>
  <c r="J79" i="3"/>
  <c r="V83" i="3"/>
  <c r="J87" i="3"/>
  <c r="V91" i="3"/>
  <c r="J93" i="3"/>
  <c r="V98" i="3"/>
  <c r="Z101" i="3"/>
  <c r="J114" i="3"/>
  <c r="Z116" i="3"/>
  <c r="J123" i="3"/>
  <c r="J129" i="3"/>
  <c r="V133" i="3"/>
  <c r="V145" i="3"/>
  <c r="V153" i="3"/>
  <c r="V165" i="3"/>
  <c r="N168" i="3"/>
  <c r="V169" i="3"/>
  <c r="J172" i="3"/>
  <c r="H26" i="6"/>
  <c r="N22" i="6"/>
  <c r="N58" i="12"/>
  <c r="V92" i="3"/>
  <c r="V101" i="3"/>
  <c r="V125" i="3"/>
  <c r="V141" i="3"/>
  <c r="V161" i="3"/>
  <c r="V173" i="3"/>
  <c r="V28" i="3"/>
  <c r="J27" i="3"/>
  <c r="V29" i="3"/>
  <c r="J33" i="3"/>
  <c r="V37" i="3"/>
  <c r="J41" i="3"/>
  <c r="V45" i="3"/>
  <c r="J49" i="3"/>
  <c r="V53" i="3"/>
  <c r="J57" i="3"/>
  <c r="V61" i="3"/>
  <c r="J69" i="3"/>
  <c r="V73" i="3"/>
  <c r="J77" i="3"/>
  <c r="J81" i="3"/>
  <c r="V85" i="3"/>
  <c r="V89" i="3"/>
  <c r="J91" i="3"/>
  <c r="V113" i="3"/>
  <c r="J122" i="3"/>
  <c r="Z124" i="3"/>
  <c r="X126" i="3"/>
  <c r="Z126" i="3" s="1"/>
  <c r="J128" i="3"/>
  <c r="V137" i="3"/>
  <c r="V157" i="3"/>
  <c r="Z168" i="3"/>
  <c r="N184" i="3"/>
  <c r="Z58" i="12"/>
  <c r="V36" i="3"/>
  <c r="L27" i="3"/>
  <c r="N27" i="3" s="1"/>
  <c r="V30" i="3"/>
  <c r="V46" i="3"/>
  <c r="V54" i="3"/>
  <c r="J58" i="3"/>
  <c r="V62" i="3"/>
  <c r="J70" i="3"/>
  <c r="V74" i="3"/>
  <c r="V78" i="3"/>
  <c r="J82" i="3"/>
  <c r="V86" i="3"/>
  <c r="X89" i="3"/>
  <c r="Z89" i="3" s="1"/>
  <c r="V90" i="3"/>
  <c r="L91" i="3"/>
  <c r="N91" i="3" s="1"/>
  <c r="J94" i="3"/>
  <c r="J98" i="3"/>
  <c r="J99" i="3"/>
  <c r="V103" i="3"/>
  <c r="V105" i="3"/>
  <c r="J111" i="3"/>
  <c r="N118" i="3"/>
  <c r="L120" i="3"/>
  <c r="N120" i="3" s="1"/>
  <c r="V129" i="3"/>
  <c r="Z136" i="3"/>
  <c r="J139" i="3"/>
  <c r="V140" i="3"/>
  <c r="V151" i="3"/>
  <c r="Z156" i="3"/>
  <c r="V159" i="3"/>
  <c r="N22" i="4"/>
  <c r="L22" i="4"/>
  <c r="L18" i="9"/>
  <c r="V60" i="3"/>
  <c r="V72" i="3"/>
  <c r="V84" i="3"/>
  <c r="V38" i="3"/>
  <c r="L15" i="3"/>
  <c r="V31" i="3"/>
  <c r="J35" i="3"/>
  <c r="V39" i="3"/>
  <c r="J43" i="3"/>
  <c r="V47" i="3"/>
  <c r="J51" i="3"/>
  <c r="V55" i="3"/>
  <c r="J59" i="3"/>
  <c r="V67" i="3"/>
  <c r="J71" i="3"/>
  <c r="V75" i="3"/>
  <c r="X78" i="3"/>
  <c r="Z78" i="3" s="1"/>
  <c r="V79" i="3"/>
  <c r="J83" i="3"/>
  <c r="V87" i="3"/>
  <c r="J89" i="3"/>
  <c r="V95" i="3"/>
  <c r="V96" i="3"/>
  <c r="V97" i="3"/>
  <c r="J109" i="3"/>
  <c r="N110" i="3"/>
  <c r="V112" i="3"/>
  <c r="J117" i="3"/>
  <c r="V119" i="3"/>
  <c r="V121" i="3"/>
  <c r="V131" i="3"/>
  <c r="X156" i="3"/>
  <c r="P168" i="3"/>
  <c r="X168" i="3" s="1"/>
  <c r="X171" i="3"/>
  <c r="Z171" i="3" s="1"/>
  <c r="X184" i="3"/>
  <c r="Z184" i="3" s="1"/>
  <c r="N18" i="9"/>
  <c r="J184" i="3"/>
  <c r="J169" i="3"/>
  <c r="J148" i="3"/>
  <c r="J144" i="3"/>
  <c r="J140" i="3"/>
  <c r="J126" i="3"/>
  <c r="J118" i="3"/>
  <c r="J112" i="3"/>
  <c r="J108" i="3"/>
  <c r="J100" i="3"/>
  <c r="J174" i="3"/>
  <c r="J165" i="3"/>
  <c r="J171" i="3"/>
  <c r="J158" i="3"/>
  <c r="J154" i="3"/>
  <c r="J146" i="3"/>
  <c r="J138" i="3"/>
  <c r="J134" i="3"/>
  <c r="J130" i="3"/>
  <c r="J120" i="3"/>
  <c r="J102" i="3"/>
  <c r="J185" i="3"/>
  <c r="J173" i="3"/>
  <c r="J168" i="3"/>
  <c r="J164" i="3"/>
  <c r="J160" i="3"/>
  <c r="J170" i="3"/>
  <c r="J163" i="3"/>
  <c r="J151" i="3"/>
  <c r="J145" i="3"/>
  <c r="J127" i="3"/>
  <c r="J119" i="3"/>
  <c r="J101" i="3"/>
  <c r="J180" i="3"/>
  <c r="J175" i="3"/>
  <c r="J166" i="3"/>
  <c r="J162" i="3"/>
  <c r="J156" i="3"/>
  <c r="J150" i="3"/>
  <c r="J136" i="3"/>
  <c r="J124" i="3"/>
  <c r="J116" i="3"/>
  <c r="J28" i="3"/>
  <c r="V32" i="3"/>
  <c r="J36" i="3"/>
  <c r="V40" i="3"/>
  <c r="J44" i="3"/>
  <c r="V48" i="3"/>
  <c r="J52" i="3"/>
  <c r="V56" i="3"/>
  <c r="J60" i="3"/>
  <c r="V68" i="3"/>
  <c r="J72" i="3"/>
  <c r="V76" i="3"/>
  <c r="J78" i="3"/>
  <c r="V80" i="3"/>
  <c r="J84" i="3"/>
  <c r="V88" i="3"/>
  <c r="J92" i="3"/>
  <c r="V100" i="3"/>
  <c r="L107" i="3"/>
  <c r="N107" i="3" s="1"/>
  <c r="J110" i="3"/>
  <c r="Z120" i="3"/>
  <c r="N126" i="3"/>
  <c r="J133" i="3"/>
  <c r="J143" i="3"/>
  <c r="V144" i="3"/>
  <c r="J153" i="3"/>
  <c r="J161" i="3"/>
  <c r="L13" i="4"/>
  <c r="T27" i="4"/>
  <c r="X18" i="9"/>
  <c r="V52" i="3"/>
  <c r="V108" i="3"/>
  <c r="V148" i="3"/>
  <c r="V49" i="3"/>
  <c r="J53" i="3"/>
  <c r="V57" i="3"/>
  <c r="J61" i="3"/>
  <c r="T64" i="3"/>
  <c r="J67" i="3"/>
  <c r="V69" i="3"/>
  <c r="J73" i="3"/>
  <c r="V77" i="3"/>
  <c r="V81" i="3"/>
  <c r="J85" i="3"/>
  <c r="V93" i="3"/>
  <c r="J95" i="3"/>
  <c r="J103" i="3"/>
  <c r="J104" i="3"/>
  <c r="J115" i="3"/>
  <c r="V120" i="3"/>
  <c r="L124" i="3"/>
  <c r="N124" i="3" s="1"/>
  <c r="J125" i="3"/>
  <c r="V127" i="3"/>
  <c r="J141" i="3"/>
  <c r="J159" i="3"/>
  <c r="P22" i="6"/>
  <c r="X16" i="6"/>
  <c r="Z18" i="9"/>
  <c r="N81" i="12"/>
  <c r="N115" i="12"/>
  <c r="X12" i="4"/>
  <c r="J21" i="4"/>
  <c r="F27" i="4"/>
  <c r="V27" i="4"/>
  <c r="F31" i="4"/>
  <c r="V31" i="4"/>
  <c r="F34" i="4"/>
  <c r="V34" i="4"/>
  <c r="R16" i="5"/>
  <c r="J18" i="5"/>
  <c r="R20" i="5"/>
  <c r="X21" i="5"/>
  <c r="F24" i="5"/>
  <c r="V24" i="5"/>
  <c r="L25" i="5"/>
  <c r="L29" i="5"/>
  <c r="L33" i="5"/>
  <c r="F16" i="6"/>
  <c r="V16" i="6"/>
  <c r="F20" i="6"/>
  <c r="V20" i="6"/>
  <c r="F26" i="6"/>
  <c r="V26" i="6"/>
  <c r="F29" i="6"/>
  <c r="V29" i="6"/>
  <c r="Z12" i="7"/>
  <c r="F16" i="7"/>
  <c r="V16" i="7"/>
  <c r="F20" i="7"/>
  <c r="V20" i="7"/>
  <c r="L21" i="7"/>
  <c r="J24" i="7"/>
  <c r="X34" i="7"/>
  <c r="X12" i="8"/>
  <c r="J21" i="8"/>
  <c r="X24" i="8"/>
  <c r="F27" i="8"/>
  <c r="V27" i="8"/>
  <c r="F31" i="8"/>
  <c r="V31" i="8"/>
  <c r="F34" i="8"/>
  <c r="V34" i="8"/>
  <c r="X12" i="9"/>
  <c r="H16" i="9"/>
  <c r="V23" i="9"/>
  <c r="R24" i="9"/>
  <c r="J27" i="9"/>
  <c r="F28" i="9"/>
  <c r="F32" i="9"/>
  <c r="V35" i="9"/>
  <c r="R36" i="9"/>
  <c r="J39" i="9"/>
  <c r="F40" i="9"/>
  <c r="J43" i="9"/>
  <c r="X46" i="9"/>
  <c r="Z46" i="9" s="1"/>
  <c r="V47" i="9"/>
  <c r="L48" i="9"/>
  <c r="N48" i="9" s="1"/>
  <c r="F52" i="9"/>
  <c r="R53" i="9"/>
  <c r="F55" i="9"/>
  <c r="V55" i="9"/>
  <c r="R56" i="9"/>
  <c r="J57" i="9"/>
  <c r="F60" i="9"/>
  <c r="R61" i="9"/>
  <c r="F63" i="9"/>
  <c r="V63" i="9"/>
  <c r="R64" i="9"/>
  <c r="J67" i="9"/>
  <c r="J71" i="9"/>
  <c r="F72" i="9"/>
  <c r="R73" i="9"/>
  <c r="J75" i="9"/>
  <c r="F79" i="9"/>
  <c r="V79" i="9"/>
  <c r="R80" i="9"/>
  <c r="J83" i="9"/>
  <c r="F84" i="9"/>
  <c r="J87" i="9"/>
  <c r="F88" i="9"/>
  <c r="R89" i="9"/>
  <c r="F91" i="9"/>
  <c r="V91" i="9"/>
  <c r="R92" i="9"/>
  <c r="J95" i="9"/>
  <c r="R97" i="9"/>
  <c r="J101" i="9"/>
  <c r="R104" i="9"/>
  <c r="J16" i="10"/>
  <c r="R18" i="10"/>
  <c r="J20" i="10"/>
  <c r="F22" i="10"/>
  <c r="L34" i="10"/>
  <c r="Z13" i="11"/>
  <c r="X16" i="11"/>
  <c r="X20" i="11"/>
  <c r="L24" i="11"/>
  <c r="R25" i="11"/>
  <c r="J27" i="11"/>
  <c r="R29" i="11"/>
  <c r="J31" i="11"/>
  <c r="R33" i="11"/>
  <c r="J34" i="11"/>
  <c r="R36" i="11"/>
  <c r="D12" i="12"/>
  <c r="J25" i="12"/>
  <c r="V27" i="12"/>
  <c r="J31" i="12"/>
  <c r="V35" i="12"/>
  <c r="J39" i="12"/>
  <c r="V43" i="12"/>
  <c r="J47" i="12"/>
  <c r="V51" i="12"/>
  <c r="H56" i="12"/>
  <c r="V63" i="12"/>
  <c r="J67" i="12"/>
  <c r="J71" i="12"/>
  <c r="V75" i="12"/>
  <c r="J79" i="12"/>
  <c r="V83" i="12"/>
  <c r="J85" i="12"/>
  <c r="J91" i="12"/>
  <c r="J95" i="12"/>
  <c r="J100" i="12"/>
  <c r="N102" i="12"/>
  <c r="J103" i="12"/>
  <c r="V120" i="12"/>
  <c r="V121" i="12"/>
  <c r="V122" i="12"/>
  <c r="V143" i="12"/>
  <c r="V147" i="12"/>
  <c r="R22" i="4"/>
  <c r="J24" i="4"/>
  <c r="J21" i="5"/>
  <c r="F27" i="5"/>
  <c r="V27" i="5"/>
  <c r="F31" i="5"/>
  <c r="V31" i="5"/>
  <c r="F34" i="5"/>
  <c r="V34" i="5"/>
  <c r="J27" i="7"/>
  <c r="J31" i="7"/>
  <c r="J34" i="7"/>
  <c r="R22" i="8"/>
  <c r="J24" i="8"/>
  <c r="R14" i="9"/>
  <c r="J16" i="9"/>
  <c r="Z16" i="9"/>
  <c r="J20" i="9"/>
  <c r="V24" i="9"/>
  <c r="R25" i="9"/>
  <c r="J28" i="9"/>
  <c r="F29" i="9"/>
  <c r="J32" i="9"/>
  <c r="F33" i="9"/>
  <c r="V36" i="9"/>
  <c r="R37" i="9"/>
  <c r="J40" i="9"/>
  <c r="F41" i="9"/>
  <c r="R42" i="9"/>
  <c r="F44" i="9"/>
  <c r="V44" i="9"/>
  <c r="R45" i="9"/>
  <c r="J46" i="9"/>
  <c r="F49" i="9"/>
  <c r="J52" i="9"/>
  <c r="V56" i="9"/>
  <c r="J60" i="9"/>
  <c r="V64" i="9"/>
  <c r="R65" i="9"/>
  <c r="F68" i="9"/>
  <c r="V68" i="9"/>
  <c r="R69" i="9"/>
  <c r="J72" i="9"/>
  <c r="F76" i="9"/>
  <c r="V76" i="9"/>
  <c r="R77" i="9"/>
  <c r="V80" i="9"/>
  <c r="R81" i="9"/>
  <c r="J84" i="9"/>
  <c r="F85" i="9"/>
  <c r="R86" i="9"/>
  <c r="J88" i="9"/>
  <c r="V92" i="9"/>
  <c r="R93" i="9"/>
  <c r="D97" i="9"/>
  <c r="R99" i="9"/>
  <c r="R21" i="10"/>
  <c r="F25" i="10"/>
  <c r="F29" i="10"/>
  <c r="F33" i="10"/>
  <c r="V33" i="10"/>
  <c r="F36" i="10"/>
  <c r="V36" i="10"/>
  <c r="J16" i="11"/>
  <c r="J20" i="11"/>
  <c r="J162" i="12"/>
  <c r="J157" i="12"/>
  <c r="J144" i="12"/>
  <c r="J134" i="12"/>
  <c r="J126" i="12"/>
  <c r="J122" i="12"/>
  <c r="J118" i="12"/>
  <c r="J114" i="12"/>
  <c r="J106" i="12"/>
  <c r="J94" i="12"/>
  <c r="J154" i="12"/>
  <c r="J150" i="12"/>
  <c r="J146" i="12"/>
  <c r="J140" i="12"/>
  <c r="J130" i="12"/>
  <c r="J116" i="12"/>
  <c r="J108" i="12"/>
  <c r="J102" i="12"/>
  <c r="J96" i="12"/>
  <c r="J156" i="12"/>
  <c r="J158" i="12"/>
  <c r="J153" i="12"/>
  <c r="J149" i="12"/>
  <c r="J145" i="12"/>
  <c r="J137" i="12"/>
  <c r="J155" i="12"/>
  <c r="J148" i="12"/>
  <c r="V28" i="12"/>
  <c r="J32" i="12"/>
  <c r="V36" i="12"/>
  <c r="J40" i="12"/>
  <c r="V44" i="12"/>
  <c r="J48" i="12"/>
  <c r="V52" i="12"/>
  <c r="J56" i="12"/>
  <c r="J60" i="12"/>
  <c r="V64" i="12"/>
  <c r="J68" i="12"/>
  <c r="J72" i="12"/>
  <c r="V76" i="12"/>
  <c r="J80" i="12"/>
  <c r="V84" i="12"/>
  <c r="J88" i="12"/>
  <c r="J92" i="12"/>
  <c r="J104" i="12"/>
  <c r="J109" i="12"/>
  <c r="V111" i="12"/>
  <c r="J115" i="12"/>
  <c r="J119" i="12"/>
  <c r="V127" i="12"/>
  <c r="V129" i="12"/>
  <c r="J133" i="12"/>
  <c r="J135" i="12"/>
  <c r="V139" i="12"/>
  <c r="J151" i="12"/>
  <c r="Z83" i="18"/>
  <c r="N85" i="18"/>
  <c r="R15" i="4"/>
  <c r="P18" i="4"/>
  <c r="R25" i="4"/>
  <c r="J27" i="4"/>
  <c r="R29" i="4"/>
  <c r="J31" i="4"/>
  <c r="R33" i="4"/>
  <c r="J34" i="4"/>
  <c r="R36" i="4"/>
  <c r="Z12" i="5"/>
  <c r="F16" i="5"/>
  <c r="V16" i="5"/>
  <c r="F20" i="5"/>
  <c r="V20" i="5"/>
  <c r="R22" i="5"/>
  <c r="J24" i="5"/>
  <c r="Z12" i="6"/>
  <c r="R14" i="6"/>
  <c r="R18" i="6"/>
  <c r="R22" i="6"/>
  <c r="R28" i="6"/>
  <c r="R31" i="6"/>
  <c r="J16" i="7"/>
  <c r="J20" i="7"/>
  <c r="F22" i="7"/>
  <c r="V22" i="7"/>
  <c r="R15" i="8"/>
  <c r="P18" i="8"/>
  <c r="R25" i="8"/>
  <c r="J27" i="8"/>
  <c r="R29" i="8"/>
  <c r="J31" i="8"/>
  <c r="R33" i="8"/>
  <c r="J34" i="8"/>
  <c r="R36" i="8"/>
  <c r="R19" i="9"/>
  <c r="J21" i="9"/>
  <c r="F22" i="9"/>
  <c r="V25" i="9"/>
  <c r="R26" i="9"/>
  <c r="J29" i="9"/>
  <c r="F30" i="9"/>
  <c r="R31" i="9"/>
  <c r="J33" i="9"/>
  <c r="F34" i="9"/>
  <c r="V37" i="9"/>
  <c r="R38" i="9"/>
  <c r="J41" i="9"/>
  <c r="V45" i="9"/>
  <c r="J49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R78" i="9"/>
  <c r="J79" i="9"/>
  <c r="V81" i="9"/>
  <c r="R82" i="9"/>
  <c r="J85" i="9"/>
  <c r="F89" i="9"/>
  <c r="V89" i="9"/>
  <c r="R90" i="9"/>
  <c r="J91" i="9"/>
  <c r="V93" i="9"/>
  <c r="F97" i="9"/>
  <c r="V97" i="9"/>
  <c r="V99" i="9"/>
  <c r="F104" i="9"/>
  <c r="V104" i="9"/>
  <c r="N12" i="10"/>
  <c r="F18" i="10"/>
  <c r="V18" i="10"/>
  <c r="J22" i="10"/>
  <c r="R24" i="10"/>
  <c r="L12" i="11"/>
  <c r="F15" i="11"/>
  <c r="V15" i="11"/>
  <c r="D18" i="11"/>
  <c r="T18" i="11"/>
  <c r="R21" i="11"/>
  <c r="F25" i="11"/>
  <c r="V25" i="11"/>
  <c r="F29" i="11"/>
  <c r="V29" i="11"/>
  <c r="F33" i="11"/>
  <c r="V33" i="11"/>
  <c r="F36" i="11"/>
  <c r="V36" i="11"/>
  <c r="V29" i="12"/>
  <c r="J33" i="12"/>
  <c r="V37" i="12"/>
  <c r="J41" i="12"/>
  <c r="V45" i="12"/>
  <c r="J49" i="12"/>
  <c r="V53" i="12"/>
  <c r="J61" i="12"/>
  <c r="V65" i="12"/>
  <c r="J69" i="12"/>
  <c r="J73" i="12"/>
  <c r="V77" i="12"/>
  <c r="V81" i="12"/>
  <c r="J83" i="12"/>
  <c r="J89" i="12"/>
  <c r="V93" i="12"/>
  <c r="V94" i="12"/>
  <c r="V97" i="12"/>
  <c r="V101" i="12"/>
  <c r="J105" i="12"/>
  <c r="V108" i="12"/>
  <c r="L115" i="12"/>
  <c r="J117" i="12"/>
  <c r="L125" i="12"/>
  <c r="N125" i="12" s="1"/>
  <c r="V125" i="12"/>
  <c r="V126" i="12"/>
  <c r="J136" i="12"/>
  <c r="X144" i="12"/>
  <c r="Z144" i="12" s="1"/>
  <c r="V146" i="12"/>
  <c r="N150" i="12"/>
  <c r="Z87" i="15"/>
  <c r="J16" i="4"/>
  <c r="R18" i="4"/>
  <c r="J20" i="4"/>
  <c r="J27" i="5"/>
  <c r="J31" i="5"/>
  <c r="J34" i="5"/>
  <c r="V15" i="7"/>
  <c r="T18" i="7"/>
  <c r="V25" i="7"/>
  <c r="V29" i="7"/>
  <c r="V33" i="7"/>
  <c r="V36" i="7"/>
  <c r="J16" i="8"/>
  <c r="R18" i="8"/>
  <c r="J20" i="8"/>
  <c r="J22" i="9"/>
  <c r="R27" i="9"/>
  <c r="J30" i="9"/>
  <c r="J34" i="9"/>
  <c r="R39" i="9"/>
  <c r="R43" i="9"/>
  <c r="J44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V78" i="9"/>
  <c r="V82" i="9"/>
  <c r="R83" i="9"/>
  <c r="F86" i="9"/>
  <c r="V86" i="9"/>
  <c r="R87" i="9"/>
  <c r="V90" i="9"/>
  <c r="R27" i="10"/>
  <c r="R31" i="10"/>
  <c r="R34" i="10"/>
  <c r="J50" i="12"/>
  <c r="J62" i="12"/>
  <c r="V66" i="12"/>
  <c r="V70" i="12"/>
  <c r="J74" i="12"/>
  <c r="V78" i="12"/>
  <c r="X81" i="12"/>
  <c r="Z81" i="12" s="1"/>
  <c r="V82" i="12"/>
  <c r="L83" i="12"/>
  <c r="N83" i="12" s="1"/>
  <c r="J86" i="12"/>
  <c r="V90" i="12"/>
  <c r="X93" i="12"/>
  <c r="Z93" i="12" s="1"/>
  <c r="V107" i="12"/>
  <c r="J110" i="12"/>
  <c r="V113" i="12"/>
  <c r="V114" i="12"/>
  <c r="N120" i="12"/>
  <c r="J123" i="12"/>
  <c r="Z130" i="12"/>
  <c r="V131" i="12"/>
  <c r="V137" i="12"/>
  <c r="V141" i="12"/>
  <c r="V153" i="12"/>
  <c r="J16" i="5"/>
  <c r="R18" i="5"/>
  <c r="J20" i="5"/>
  <c r="F22" i="5"/>
  <c r="V22" i="5"/>
  <c r="F14" i="6"/>
  <c r="V14" i="6"/>
  <c r="N16" i="6"/>
  <c r="F18" i="6"/>
  <c r="V18" i="6"/>
  <c r="F22" i="6"/>
  <c r="V22" i="6"/>
  <c r="V24" i="6"/>
  <c r="F28" i="6"/>
  <c r="V28" i="6"/>
  <c r="F31" i="6"/>
  <c r="V31" i="6"/>
  <c r="N12" i="7"/>
  <c r="F18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V33" i="8"/>
  <c r="F36" i="8"/>
  <c r="V36" i="8"/>
  <c r="L12" i="9"/>
  <c r="P16" i="9"/>
  <c r="F18" i="9"/>
  <c r="R18" i="9"/>
  <c r="F19" i="9"/>
  <c r="V19" i="9"/>
  <c r="R20" i="9"/>
  <c r="J23" i="9"/>
  <c r="F24" i="9"/>
  <c r="V27" i="9"/>
  <c r="R28" i="9"/>
  <c r="F31" i="9"/>
  <c r="V31" i="9"/>
  <c r="R32" i="9"/>
  <c r="J35" i="9"/>
  <c r="F36" i="9"/>
  <c r="V39" i="9"/>
  <c r="R40" i="9"/>
  <c r="V43" i="9"/>
  <c r="J47" i="9"/>
  <c r="F51" i="9"/>
  <c r="V51" i="9"/>
  <c r="R52" i="9"/>
  <c r="J53" i="9"/>
  <c r="F56" i="9"/>
  <c r="R57" i="9"/>
  <c r="F59" i="9"/>
  <c r="V59" i="9"/>
  <c r="R60" i="9"/>
  <c r="J61" i="9"/>
  <c r="F64" i="9"/>
  <c r="V67" i="9"/>
  <c r="V71" i="9"/>
  <c r="R72" i="9"/>
  <c r="J73" i="9"/>
  <c r="V75" i="9"/>
  <c r="F80" i="9"/>
  <c r="V83" i="9"/>
  <c r="R84" i="9"/>
  <c r="V87" i="9"/>
  <c r="R88" i="9"/>
  <c r="J89" i="9"/>
  <c r="F92" i="9"/>
  <c r="R95" i="9"/>
  <c r="J97" i="9"/>
  <c r="R101" i="9"/>
  <c r="J104" i="9"/>
  <c r="R16" i="10"/>
  <c r="J18" i="10"/>
  <c r="R20" i="10"/>
  <c r="F24" i="10"/>
  <c r="V24" i="10"/>
  <c r="J15" i="11"/>
  <c r="H18" i="11"/>
  <c r="F21" i="11"/>
  <c r="V21" i="11"/>
  <c r="J25" i="11"/>
  <c r="R27" i="11"/>
  <c r="J29" i="11"/>
  <c r="R31" i="11"/>
  <c r="J33" i="11"/>
  <c r="R34" i="11"/>
  <c r="J36" i="11"/>
  <c r="P12" i="12"/>
  <c r="J27" i="12"/>
  <c r="V31" i="12"/>
  <c r="J35" i="12"/>
  <c r="V39" i="12"/>
  <c r="J43" i="12"/>
  <c r="V47" i="12"/>
  <c r="J51" i="12"/>
  <c r="V59" i="12"/>
  <c r="J63" i="12"/>
  <c r="V67" i="12"/>
  <c r="V71" i="12"/>
  <c r="J75" i="12"/>
  <c r="V79" i="12"/>
  <c r="J81" i="12"/>
  <c r="V87" i="12"/>
  <c r="V91" i="12"/>
  <c r="J93" i="12"/>
  <c r="J97" i="12"/>
  <c r="V99" i="12"/>
  <c r="Z102" i="12"/>
  <c r="V103" i="12"/>
  <c r="J111" i="12"/>
  <c r="J120" i="12"/>
  <c r="J121" i="12"/>
  <c r="J124" i="12"/>
  <c r="V130" i="12"/>
  <c r="V149" i="12"/>
  <c r="N52" i="15"/>
  <c r="N12" i="4"/>
  <c r="F18" i="4"/>
  <c r="V18" i="4"/>
  <c r="J22" i="4"/>
  <c r="R24" i="4"/>
  <c r="L12" i="5"/>
  <c r="F15" i="5"/>
  <c r="V15" i="5"/>
  <c r="D18" i="5"/>
  <c r="T18" i="5"/>
  <c r="R21" i="5"/>
  <c r="F25" i="5"/>
  <c r="V25" i="5"/>
  <c r="F29" i="5"/>
  <c r="V29" i="5"/>
  <c r="F33" i="5"/>
  <c r="V33" i="5"/>
  <c r="F36" i="5"/>
  <c r="V36" i="5"/>
  <c r="L12" i="6"/>
  <c r="J15" i="7"/>
  <c r="H18" i="7"/>
  <c r="F21" i="7"/>
  <c r="V21" i="7"/>
  <c r="J25" i="7"/>
  <c r="R27" i="7"/>
  <c r="J29" i="7"/>
  <c r="R31" i="7"/>
  <c r="J33" i="7"/>
  <c r="J36" i="7"/>
  <c r="N12" i="8"/>
  <c r="F18" i="8"/>
  <c r="V18" i="8"/>
  <c r="J22" i="8"/>
  <c r="R24" i="8"/>
  <c r="N12" i="9"/>
  <c r="J14" i="9"/>
  <c r="R16" i="9"/>
  <c r="V20" i="9"/>
  <c r="R21" i="9"/>
  <c r="J24" i="9"/>
  <c r="F25" i="9"/>
  <c r="V28" i="9"/>
  <c r="R29" i="9"/>
  <c r="V32" i="9"/>
  <c r="R33" i="9"/>
  <c r="J36" i="9"/>
  <c r="F37" i="9"/>
  <c r="V40" i="9"/>
  <c r="R41" i="9"/>
  <c r="J42" i="9"/>
  <c r="F45" i="9"/>
  <c r="R46" i="9"/>
  <c r="F48" i="9"/>
  <c r="V48" i="9"/>
  <c r="R49" i="9"/>
  <c r="V52" i="9"/>
  <c r="J56" i="9"/>
  <c r="V60" i="9"/>
  <c r="J64" i="9"/>
  <c r="F65" i="9"/>
  <c r="F69" i="9"/>
  <c r="V72" i="9"/>
  <c r="F77" i="9"/>
  <c r="J80" i="9"/>
  <c r="F81" i="9"/>
  <c r="V84" i="9"/>
  <c r="R85" i="9"/>
  <c r="J86" i="9"/>
  <c r="V88" i="9"/>
  <c r="J92" i="9"/>
  <c r="F93" i="9"/>
  <c r="F99" i="9"/>
  <c r="X12" i="10"/>
  <c r="J21" i="10"/>
  <c r="F27" i="10"/>
  <c r="V27" i="10"/>
  <c r="F31" i="10"/>
  <c r="V31" i="10"/>
  <c r="R16" i="11"/>
  <c r="J18" i="11"/>
  <c r="R20" i="11"/>
  <c r="F24" i="11"/>
  <c r="V24" i="11"/>
  <c r="V158" i="12"/>
  <c r="V142" i="12"/>
  <c r="V138" i="12"/>
  <c r="V110" i="12"/>
  <c r="V98" i="12"/>
  <c r="V155" i="12"/>
  <c r="V148" i="12"/>
  <c r="V144" i="12"/>
  <c r="V136" i="12"/>
  <c r="V132" i="12"/>
  <c r="V128" i="12"/>
  <c r="V124" i="12"/>
  <c r="V112" i="12"/>
  <c r="V104" i="12"/>
  <c r="V100" i="12"/>
  <c r="V157" i="12"/>
  <c r="V162" i="12"/>
  <c r="V160" i="12"/>
  <c r="V154" i="12"/>
  <c r="V156" i="12"/>
  <c r="J28" i="12"/>
  <c r="V32" i="12"/>
  <c r="J36" i="12"/>
  <c r="V40" i="12"/>
  <c r="J44" i="12"/>
  <c r="V48" i="12"/>
  <c r="J52" i="12"/>
  <c r="V60" i="12"/>
  <c r="J64" i="12"/>
  <c r="V68" i="12"/>
  <c r="J70" i="12"/>
  <c r="V72" i="12"/>
  <c r="J76" i="12"/>
  <c r="V80" i="12"/>
  <c r="J84" i="12"/>
  <c r="V88" i="12"/>
  <c r="J90" i="12"/>
  <c r="V92" i="12"/>
  <c r="V96" i="12"/>
  <c r="V102" i="12"/>
  <c r="J107" i="12"/>
  <c r="J112" i="12"/>
  <c r="V119" i="12"/>
  <c r="J125" i="12"/>
  <c r="J127" i="12"/>
  <c r="V135" i="12"/>
  <c r="J143" i="12"/>
  <c r="N146" i="12"/>
  <c r="J147" i="12"/>
  <c r="Z150" i="12"/>
  <c r="Z77" i="15"/>
  <c r="N79" i="15"/>
  <c r="Z91" i="15"/>
  <c r="N101" i="15"/>
  <c r="H18" i="4"/>
  <c r="J25" i="4"/>
  <c r="R27" i="4"/>
  <c r="J29" i="4"/>
  <c r="R31" i="4"/>
  <c r="J33" i="4"/>
  <c r="R34" i="4"/>
  <c r="J36" i="4"/>
  <c r="N12" i="5"/>
  <c r="X15" i="5"/>
  <c r="J22" i="5"/>
  <c r="V24" i="7"/>
  <c r="J25" i="8"/>
  <c r="R27" i="8"/>
  <c r="J29" i="8"/>
  <c r="R31" i="8"/>
  <c r="J33" i="8"/>
  <c r="R34" i="8"/>
  <c r="J36" i="8"/>
  <c r="J19" i="9"/>
  <c r="R22" i="9"/>
  <c r="J25" i="9"/>
  <c r="R30" i="9"/>
  <c r="J31" i="9"/>
  <c r="R34" i="9"/>
  <c r="J37" i="9"/>
  <c r="J45" i="9"/>
  <c r="R50" i="9"/>
  <c r="J51" i="9"/>
  <c r="R55" i="9"/>
  <c r="R58" i="9"/>
  <c r="J59" i="9"/>
  <c r="R63" i="9"/>
  <c r="J65" i="9"/>
  <c r="J69" i="9"/>
  <c r="F70" i="9"/>
  <c r="F74" i="9"/>
  <c r="J77" i="9"/>
  <c r="F78" i="9"/>
  <c r="R79" i="9"/>
  <c r="J81" i="9"/>
  <c r="F82" i="9"/>
  <c r="V85" i="9"/>
  <c r="F90" i="9"/>
  <c r="R91" i="9"/>
  <c r="J93" i="9"/>
  <c r="F95" i="9"/>
  <c r="V95" i="9"/>
  <c r="J99" i="9"/>
  <c r="F101" i="9"/>
  <c r="V101" i="9"/>
  <c r="R22" i="10"/>
  <c r="J53" i="12"/>
  <c r="T160" i="12"/>
  <c r="J59" i="12"/>
  <c r="V61" i="12"/>
  <c r="J65" i="12"/>
  <c r="V69" i="12"/>
  <c r="V73" i="12"/>
  <c r="J77" i="12"/>
  <c r="V85" i="12"/>
  <c r="J87" i="12"/>
  <c r="V89" i="12"/>
  <c r="V95" i="12"/>
  <c r="J98" i="12"/>
  <c r="J113" i="12"/>
  <c r="V116" i="12"/>
  <c r="V117" i="12"/>
  <c r="V118" i="12"/>
  <c r="J128" i="12"/>
  <c r="J129" i="12"/>
  <c r="V133" i="12"/>
  <c r="V134" i="12"/>
  <c r="J139" i="12"/>
  <c r="J141" i="12"/>
  <c r="J142" i="12"/>
  <c r="V150" i="12"/>
  <c r="R16" i="4"/>
  <c r="J15" i="5"/>
  <c r="H18" i="5"/>
  <c r="J25" i="5"/>
  <c r="R27" i="5"/>
  <c r="J29" i="5"/>
  <c r="R31" i="5"/>
  <c r="J33" i="5"/>
  <c r="D16" i="6"/>
  <c r="X12" i="7"/>
  <c r="F27" i="7"/>
  <c r="V27" i="7"/>
  <c r="F31" i="7"/>
  <c r="V31" i="7"/>
  <c r="R16" i="8"/>
  <c r="V16" i="9"/>
  <c r="J18" i="9"/>
  <c r="V18" i="9"/>
  <c r="V22" i="9"/>
  <c r="R23" i="9"/>
  <c r="J26" i="9"/>
  <c r="F27" i="9"/>
  <c r="V30" i="9"/>
  <c r="V34" i="9"/>
  <c r="R35" i="9"/>
  <c r="J38" i="9"/>
  <c r="F39" i="9"/>
  <c r="F43" i="9"/>
  <c r="R44" i="9"/>
  <c r="F46" i="9"/>
  <c r="V46" i="9"/>
  <c r="R47" i="9"/>
  <c r="J48" i="9"/>
  <c r="V50" i="9"/>
  <c r="J54" i="9"/>
  <c r="J62" i="9"/>
  <c r="J66" i="9"/>
  <c r="F67" i="9"/>
  <c r="R68" i="9"/>
  <c r="J70" i="9"/>
  <c r="F71" i="9"/>
  <c r="J74" i="9"/>
  <c r="F75" i="9"/>
  <c r="J78" i="9"/>
  <c r="J82" i="9"/>
  <c r="F83" i="9"/>
  <c r="R15" i="10"/>
  <c r="P18" i="10"/>
  <c r="R25" i="10"/>
  <c r="J27" i="10"/>
  <c r="R29" i="10"/>
  <c r="J31" i="10"/>
  <c r="R33" i="10"/>
  <c r="F16" i="11"/>
  <c r="V16" i="11"/>
  <c r="V26" i="12"/>
  <c r="J30" i="12"/>
  <c r="V34" i="12"/>
  <c r="J38" i="12"/>
  <c r="V42" i="12"/>
  <c r="J46" i="12"/>
  <c r="V50" i="12"/>
  <c r="J54" i="12"/>
  <c r="V56" i="12"/>
  <c r="J58" i="12"/>
  <c r="V58" i="12"/>
  <c r="V62" i="12"/>
  <c r="J66" i="12"/>
  <c r="V74" i="12"/>
  <c r="J78" i="12"/>
  <c r="J82" i="12"/>
  <c r="V86" i="12"/>
  <c r="J99" i="12"/>
  <c r="J101" i="12"/>
  <c r="L105" i="12"/>
  <c r="N105" i="12" s="1"/>
  <c r="V105" i="12"/>
  <c r="V106" i="12"/>
  <c r="V109" i="12"/>
  <c r="V115" i="12"/>
  <c r="V123" i="12"/>
  <c r="N130" i="12"/>
  <c r="J131" i="12"/>
  <c r="J138" i="12"/>
  <c r="V140" i="12"/>
  <c r="V145" i="12"/>
  <c r="Z52" i="15"/>
  <c r="Z101" i="15"/>
  <c r="N103" i="15"/>
  <c r="N137" i="15"/>
  <c r="X58" i="18"/>
  <c r="Z58" i="18" s="1"/>
  <c r="N99" i="18"/>
  <c r="J16" i="13"/>
  <c r="R18" i="13"/>
  <c r="J20" i="13"/>
  <c r="F22" i="13"/>
  <c r="P18" i="14"/>
  <c r="J27" i="14"/>
  <c r="J31" i="14"/>
  <c r="J34" i="14"/>
  <c r="D12" i="15"/>
  <c r="V27" i="15"/>
  <c r="V35" i="15"/>
  <c r="J39" i="15"/>
  <c r="V43" i="15"/>
  <c r="J47" i="15"/>
  <c r="T50" i="15"/>
  <c r="J53" i="15"/>
  <c r="V55" i="15"/>
  <c r="J59" i="15"/>
  <c r="V63" i="15"/>
  <c r="V67" i="15"/>
  <c r="J71" i="15"/>
  <c r="V79" i="15"/>
  <c r="J81" i="15"/>
  <c r="V83" i="15"/>
  <c r="V91" i="15"/>
  <c r="J93" i="15"/>
  <c r="V95" i="15"/>
  <c r="V103" i="15"/>
  <c r="J105" i="15"/>
  <c r="V111" i="15"/>
  <c r="V115" i="15"/>
  <c r="J117" i="15"/>
  <c r="V119" i="15"/>
  <c r="J121" i="15"/>
  <c r="V123" i="15"/>
  <c r="V127" i="15"/>
  <c r="J131" i="15"/>
  <c r="V135" i="15"/>
  <c r="J137" i="15"/>
  <c r="V139" i="15"/>
  <c r="J141" i="15"/>
  <c r="P144" i="15"/>
  <c r="X144" i="15" s="1"/>
  <c r="Z144" i="15" s="1"/>
  <c r="R16" i="16"/>
  <c r="R20" i="16"/>
  <c r="F24" i="16"/>
  <c r="V24" i="16"/>
  <c r="J15" i="17"/>
  <c r="H18" i="17"/>
  <c r="V21" i="17"/>
  <c r="J25" i="17"/>
  <c r="R27" i="17"/>
  <c r="J29" i="17"/>
  <c r="R31" i="17"/>
  <c r="J33" i="17"/>
  <c r="R34" i="17"/>
  <c r="J36" i="17"/>
  <c r="P12" i="18"/>
  <c r="J21" i="18"/>
  <c r="V23" i="18"/>
  <c r="J27" i="18"/>
  <c r="V31" i="18"/>
  <c r="J35" i="18"/>
  <c r="V39" i="18"/>
  <c r="J43" i="18"/>
  <c r="V47" i="18"/>
  <c r="J51" i="18"/>
  <c r="V59" i="18"/>
  <c r="J63" i="18"/>
  <c r="V67" i="18"/>
  <c r="V71" i="18"/>
  <c r="J75" i="18"/>
  <c r="V79" i="18"/>
  <c r="J81" i="18"/>
  <c r="V87" i="18"/>
  <c r="V91" i="18"/>
  <c r="J93" i="18"/>
  <c r="J99" i="18"/>
  <c r="X102" i="18"/>
  <c r="Z102" i="18" s="1"/>
  <c r="J119" i="18"/>
  <c r="J127" i="18"/>
  <c r="J128" i="18"/>
  <c r="V129" i="18"/>
  <c r="V140" i="18"/>
  <c r="J148" i="18"/>
  <c r="J157" i="18"/>
  <c r="J18" i="20"/>
  <c r="J36" i="20"/>
  <c r="J33" i="20"/>
  <c r="J29" i="20"/>
  <c r="J25" i="20"/>
  <c r="H18" i="20"/>
  <c r="J15" i="20"/>
  <c r="J22" i="20"/>
  <c r="N12" i="20"/>
  <c r="J20" i="20"/>
  <c r="J16" i="20"/>
  <c r="J34" i="20"/>
  <c r="J31" i="20"/>
  <c r="J27" i="20"/>
  <c r="J24" i="20"/>
  <c r="X13" i="20"/>
  <c r="R72" i="21"/>
  <c r="T78" i="31"/>
  <c r="V78" i="31" s="1"/>
  <c r="V23" i="31"/>
  <c r="L12" i="13"/>
  <c r="F15" i="13"/>
  <c r="D18" i="13"/>
  <c r="R21" i="13"/>
  <c r="F25" i="13"/>
  <c r="F29" i="13"/>
  <c r="F33" i="13"/>
  <c r="F36" i="13"/>
  <c r="J16" i="14"/>
  <c r="J20" i="14"/>
  <c r="F22" i="14"/>
  <c r="V22" i="14"/>
  <c r="J24" i="15"/>
  <c r="V28" i="15"/>
  <c r="J32" i="15"/>
  <c r="V36" i="15"/>
  <c r="J40" i="15"/>
  <c r="V44" i="15"/>
  <c r="J48" i="15"/>
  <c r="V50" i="15"/>
  <c r="J52" i="15"/>
  <c r="V52" i="15"/>
  <c r="L53" i="15"/>
  <c r="N53" i="15" s="1"/>
  <c r="V56" i="15"/>
  <c r="J60" i="15"/>
  <c r="V68" i="15"/>
  <c r="J72" i="15"/>
  <c r="J76" i="15"/>
  <c r="X79" i="15"/>
  <c r="Z79" i="15" s="1"/>
  <c r="V80" i="15"/>
  <c r="L81" i="15"/>
  <c r="N81" i="15" s="1"/>
  <c r="J88" i="15"/>
  <c r="X91" i="15"/>
  <c r="V92" i="15"/>
  <c r="L93" i="15"/>
  <c r="N93" i="15" s="1"/>
  <c r="J100" i="15"/>
  <c r="X103" i="15"/>
  <c r="Z103" i="15" s="1"/>
  <c r="V104" i="15"/>
  <c r="L105" i="15"/>
  <c r="N105" i="15" s="1"/>
  <c r="J108" i="15"/>
  <c r="V116" i="15"/>
  <c r="L117" i="15"/>
  <c r="N117" i="15" s="1"/>
  <c r="V120" i="15"/>
  <c r="L121" i="15"/>
  <c r="N121" i="15" s="1"/>
  <c r="V128" i="15"/>
  <c r="V132" i="15"/>
  <c r="X135" i="15"/>
  <c r="Z135" i="15" s="1"/>
  <c r="V136" i="15"/>
  <c r="L137" i="15"/>
  <c r="V140" i="15"/>
  <c r="L141" i="15"/>
  <c r="N141" i="15" s="1"/>
  <c r="J145" i="15"/>
  <c r="V146" i="15"/>
  <c r="X12" i="16"/>
  <c r="F27" i="16"/>
  <c r="V27" i="16"/>
  <c r="F31" i="16"/>
  <c r="V31" i="16"/>
  <c r="F34" i="16"/>
  <c r="V34" i="16"/>
  <c r="R16" i="17"/>
  <c r="J18" i="17"/>
  <c r="R20" i="17"/>
  <c r="V24" i="17"/>
  <c r="V154" i="18"/>
  <c r="V148" i="18"/>
  <c r="V144" i="18"/>
  <c r="V132" i="18"/>
  <c r="V128" i="18"/>
  <c r="V124" i="18"/>
  <c r="V120" i="18"/>
  <c r="V116" i="18"/>
  <c r="V112" i="18"/>
  <c r="V151" i="18"/>
  <c r="V147" i="18"/>
  <c r="V143" i="18"/>
  <c r="V156" i="18"/>
  <c r="V130" i="18"/>
  <c r="V118" i="18"/>
  <c r="V114" i="18"/>
  <c r="V106" i="18"/>
  <c r="V102" i="18"/>
  <c r="V161" i="18"/>
  <c r="V153" i="18"/>
  <c r="V137" i="18"/>
  <c r="V113" i="18"/>
  <c r="V155" i="18"/>
  <c r="V139" i="18"/>
  <c r="V135" i="18"/>
  <c r="V152" i="18"/>
  <c r="V146" i="18"/>
  <c r="V142" i="18"/>
  <c r="V138" i="18"/>
  <c r="V134" i="18"/>
  <c r="V126" i="18"/>
  <c r="V122" i="18"/>
  <c r="V110" i="18"/>
  <c r="V98" i="18"/>
  <c r="L21" i="18"/>
  <c r="N21" i="18" s="1"/>
  <c r="V24" i="18"/>
  <c r="J28" i="18"/>
  <c r="V32" i="18"/>
  <c r="J36" i="18"/>
  <c r="V40" i="18"/>
  <c r="J44" i="18"/>
  <c r="V48" i="18"/>
  <c r="J52" i="18"/>
  <c r="X59" i="18"/>
  <c r="Z59" i="18" s="1"/>
  <c r="V60" i="18"/>
  <c r="J64" i="18"/>
  <c r="V68" i="18"/>
  <c r="J70" i="18"/>
  <c r="V72" i="18"/>
  <c r="J76" i="18"/>
  <c r="V80" i="18"/>
  <c r="L81" i="18"/>
  <c r="N81" i="18" s="1"/>
  <c r="J84" i="18"/>
  <c r="X87" i="18"/>
  <c r="Z87" i="18" s="1"/>
  <c r="V88" i="18"/>
  <c r="J90" i="18"/>
  <c r="V92" i="18"/>
  <c r="L93" i="18"/>
  <c r="N93" i="18" s="1"/>
  <c r="J96" i="18"/>
  <c r="J101" i="18"/>
  <c r="J108" i="18"/>
  <c r="J113" i="18"/>
  <c r="V136" i="18"/>
  <c r="J144" i="18"/>
  <c r="J161" i="18"/>
  <c r="R91" i="21"/>
  <c r="R83" i="21"/>
  <c r="R79" i="21"/>
  <c r="R75" i="21"/>
  <c r="R71" i="21"/>
  <c r="R56" i="21"/>
  <c r="R51" i="21"/>
  <c r="R47" i="21"/>
  <c r="R35" i="21"/>
  <c r="R28" i="21"/>
  <c r="R23" i="21"/>
  <c r="R87" i="21"/>
  <c r="R82" i="21"/>
  <c r="R78" i="21"/>
  <c r="R74" i="21"/>
  <c r="R70" i="21"/>
  <c r="R67" i="21"/>
  <c r="R62" i="21"/>
  <c r="R59" i="21"/>
  <c r="R46" i="21"/>
  <c r="R39" i="21"/>
  <c r="R34" i="21"/>
  <c r="R22" i="21"/>
  <c r="R99" i="21"/>
  <c r="R93" i="21"/>
  <c r="R90" i="21"/>
  <c r="R81" i="21"/>
  <c r="R77" i="21"/>
  <c r="R53" i="21"/>
  <c r="R50" i="21"/>
  <c r="R45" i="21"/>
  <c r="R33" i="21"/>
  <c r="R21" i="21"/>
  <c r="R73" i="21"/>
  <c r="R69" i="21"/>
  <c r="R64" i="21"/>
  <c r="R61" i="21"/>
  <c r="R44" i="21"/>
  <c r="R32" i="21"/>
  <c r="R92" i="21"/>
  <c r="R80" i="21"/>
  <c r="R76" i="21"/>
  <c r="R55" i="21"/>
  <c r="R52" i="21"/>
  <c r="R43" i="21"/>
  <c r="R31" i="21"/>
  <c r="R20" i="21"/>
  <c r="R86" i="21"/>
  <c r="R66" i="21"/>
  <c r="R63" i="21"/>
  <c r="R58" i="21"/>
  <c r="R42" i="21"/>
  <c r="R38" i="21"/>
  <c r="R30" i="21"/>
  <c r="R25" i="21"/>
  <c r="R89" i="21"/>
  <c r="R85" i="21"/>
  <c r="R57" i="21"/>
  <c r="R54" i="21"/>
  <c r="R49" i="21"/>
  <c r="R41" i="21"/>
  <c r="R37" i="21"/>
  <c r="R29" i="21"/>
  <c r="R27" i="21"/>
  <c r="P25" i="21"/>
  <c r="R65" i="21"/>
  <c r="N33" i="25"/>
  <c r="X67" i="25"/>
  <c r="N69" i="25"/>
  <c r="L25" i="27"/>
  <c r="L29" i="27"/>
  <c r="L33" i="27"/>
  <c r="F18" i="13"/>
  <c r="J22" i="13"/>
  <c r="R24" i="13"/>
  <c r="P27" i="13"/>
  <c r="V15" i="14"/>
  <c r="D18" i="14"/>
  <c r="T18" i="14"/>
  <c r="F25" i="14"/>
  <c r="V25" i="14"/>
  <c r="F29" i="14"/>
  <c r="V29" i="14"/>
  <c r="F33" i="14"/>
  <c r="V33" i="14"/>
  <c r="F36" i="14"/>
  <c r="V36" i="14"/>
  <c r="V21" i="15"/>
  <c r="V29" i="15"/>
  <c r="V37" i="15"/>
  <c r="V45" i="15"/>
  <c r="H50" i="15"/>
  <c r="V57" i="15"/>
  <c r="J61" i="15"/>
  <c r="J65" i="15"/>
  <c r="V69" i="15"/>
  <c r="J73" i="15"/>
  <c r="V77" i="15"/>
  <c r="J79" i="15"/>
  <c r="J85" i="15"/>
  <c r="V89" i="15"/>
  <c r="J91" i="15"/>
  <c r="J97" i="15"/>
  <c r="V101" i="15"/>
  <c r="J103" i="15"/>
  <c r="J109" i="15"/>
  <c r="J113" i="15"/>
  <c r="J125" i="15"/>
  <c r="V129" i="15"/>
  <c r="V133" i="15"/>
  <c r="J135" i="15"/>
  <c r="D144" i="15"/>
  <c r="L144" i="15" s="1"/>
  <c r="N144" i="15" s="1"/>
  <c r="J148" i="15"/>
  <c r="V149" i="15"/>
  <c r="J153" i="15"/>
  <c r="R22" i="16"/>
  <c r="V41" i="18"/>
  <c r="J45" i="18"/>
  <c r="V49" i="18"/>
  <c r="J53" i="18"/>
  <c r="T56" i="18"/>
  <c r="J59" i="18"/>
  <c r="V61" i="18"/>
  <c r="J65" i="18"/>
  <c r="V69" i="18"/>
  <c r="L70" i="18"/>
  <c r="N70" i="18" s="1"/>
  <c r="V73" i="18"/>
  <c r="J77" i="18"/>
  <c r="V85" i="18"/>
  <c r="J87" i="18"/>
  <c r="V89" i="18"/>
  <c r="L90" i="18"/>
  <c r="V97" i="18"/>
  <c r="J100" i="18"/>
  <c r="N102" i="18"/>
  <c r="V105" i="18"/>
  <c r="J109" i="18"/>
  <c r="J111" i="18"/>
  <c r="J112" i="18"/>
  <c r="L118" i="18"/>
  <c r="N118" i="18" s="1"/>
  <c r="V119" i="18"/>
  <c r="V141" i="18"/>
  <c r="L34" i="19"/>
  <c r="Z27" i="21"/>
  <c r="R68" i="21"/>
  <c r="R95" i="21"/>
  <c r="Z67" i="25"/>
  <c r="N75" i="25"/>
  <c r="P87" i="25"/>
  <c r="X87" i="25" s="1"/>
  <c r="X88" i="25"/>
  <c r="Z88" i="25" s="1"/>
  <c r="X21" i="27"/>
  <c r="J15" i="13"/>
  <c r="H18" i="13"/>
  <c r="F21" i="13"/>
  <c r="J25" i="13"/>
  <c r="R27" i="13"/>
  <c r="J29" i="13"/>
  <c r="R31" i="13"/>
  <c r="J33" i="13"/>
  <c r="R34" i="13"/>
  <c r="J36" i="13"/>
  <c r="V18" i="14"/>
  <c r="V22" i="15"/>
  <c r="V30" i="15"/>
  <c r="V38" i="15"/>
  <c r="V46" i="15"/>
  <c r="J54" i="15"/>
  <c r="V58" i="15"/>
  <c r="J62" i="15"/>
  <c r="J66" i="15"/>
  <c r="V70" i="15"/>
  <c r="J74" i="15"/>
  <c r="V78" i="15"/>
  <c r="J82" i="15"/>
  <c r="J86" i="15"/>
  <c r="V90" i="15"/>
  <c r="J94" i="15"/>
  <c r="J98" i="15"/>
  <c r="V102" i="15"/>
  <c r="J106" i="15"/>
  <c r="J110" i="15"/>
  <c r="J114" i="15"/>
  <c r="J118" i="15"/>
  <c r="J122" i="15"/>
  <c r="J126" i="15"/>
  <c r="V130" i="15"/>
  <c r="J132" i="15"/>
  <c r="V134" i="15"/>
  <c r="J138" i="15"/>
  <c r="J142" i="15"/>
  <c r="V144" i="15"/>
  <c r="R15" i="16"/>
  <c r="P18" i="16"/>
  <c r="R25" i="16"/>
  <c r="R29" i="16"/>
  <c r="R33" i="16"/>
  <c r="R36" i="16"/>
  <c r="X13" i="17"/>
  <c r="V20" i="17"/>
  <c r="R22" i="17"/>
  <c r="J24" i="17"/>
  <c r="J22" i="18"/>
  <c r="V26" i="18"/>
  <c r="J30" i="18"/>
  <c r="V34" i="18"/>
  <c r="J38" i="18"/>
  <c r="V42" i="18"/>
  <c r="J46" i="18"/>
  <c r="V50" i="18"/>
  <c r="J54" i="18"/>
  <c r="J58" i="18"/>
  <c r="V58" i="18"/>
  <c r="V62" i="18"/>
  <c r="J66" i="18"/>
  <c r="V74" i="18"/>
  <c r="J78" i="18"/>
  <c r="J82" i="18"/>
  <c r="V86" i="18"/>
  <c r="J94" i="18"/>
  <c r="J102" i="18"/>
  <c r="J103" i="18"/>
  <c r="J104" i="18"/>
  <c r="Z105" i="18"/>
  <c r="J123" i="18"/>
  <c r="J124" i="18"/>
  <c r="V125" i="18"/>
  <c r="J132" i="18"/>
  <c r="V133" i="18"/>
  <c r="J147" i="18"/>
  <c r="J156" i="18"/>
  <c r="R24" i="23"/>
  <c r="R21" i="23"/>
  <c r="R18" i="23"/>
  <c r="R36" i="23"/>
  <c r="R33" i="23"/>
  <c r="R29" i="23"/>
  <c r="R25" i="23"/>
  <c r="P18" i="23"/>
  <c r="R15" i="23"/>
  <c r="R22" i="23"/>
  <c r="X12" i="23"/>
  <c r="R20" i="23"/>
  <c r="R16" i="23"/>
  <c r="R24" i="26"/>
  <c r="R21" i="26"/>
  <c r="R18" i="26"/>
  <c r="R36" i="26"/>
  <c r="R33" i="26"/>
  <c r="R29" i="26"/>
  <c r="R25" i="26"/>
  <c r="P18" i="26"/>
  <c r="R15" i="26"/>
  <c r="R22" i="26"/>
  <c r="X12" i="26"/>
  <c r="R20" i="26"/>
  <c r="R16" i="26"/>
  <c r="R16" i="13"/>
  <c r="J18" i="13"/>
  <c r="R20" i="13"/>
  <c r="F24" i="13"/>
  <c r="V24" i="13"/>
  <c r="J15" i="14"/>
  <c r="H18" i="14"/>
  <c r="F21" i="14"/>
  <c r="V21" i="14"/>
  <c r="J25" i="14"/>
  <c r="R27" i="14"/>
  <c r="J29" i="14"/>
  <c r="R31" i="14"/>
  <c r="J33" i="14"/>
  <c r="J36" i="14"/>
  <c r="P12" i="15"/>
  <c r="J21" i="15"/>
  <c r="V23" i="15"/>
  <c r="J27" i="15"/>
  <c r="V31" i="15"/>
  <c r="J35" i="15"/>
  <c r="V39" i="15"/>
  <c r="J43" i="15"/>
  <c r="V47" i="15"/>
  <c r="J55" i="15"/>
  <c r="V59" i="15"/>
  <c r="J63" i="15"/>
  <c r="J67" i="15"/>
  <c r="V71" i="15"/>
  <c r="V75" i="15"/>
  <c r="J77" i="15"/>
  <c r="J83" i="15"/>
  <c r="V87" i="15"/>
  <c r="J89" i="15"/>
  <c r="J95" i="15"/>
  <c r="V99" i="15"/>
  <c r="J101" i="15"/>
  <c r="V107" i="15"/>
  <c r="J111" i="15"/>
  <c r="J115" i="15"/>
  <c r="J119" i="15"/>
  <c r="J123" i="15"/>
  <c r="J127" i="15"/>
  <c r="V131" i="15"/>
  <c r="J139" i="15"/>
  <c r="J146" i="15"/>
  <c r="V147" i="15"/>
  <c r="J16" i="16"/>
  <c r="R18" i="16"/>
  <c r="J20" i="16"/>
  <c r="F22" i="16"/>
  <c r="V22" i="16"/>
  <c r="R15" i="17"/>
  <c r="P18" i="17"/>
  <c r="R25" i="17"/>
  <c r="J27" i="17"/>
  <c r="R29" i="17"/>
  <c r="J31" i="17"/>
  <c r="R33" i="17"/>
  <c r="J34" i="17"/>
  <c r="R36" i="17"/>
  <c r="D12" i="18"/>
  <c r="J23" i="18"/>
  <c r="V27" i="18"/>
  <c r="J31" i="18"/>
  <c r="V35" i="18"/>
  <c r="J39" i="18"/>
  <c r="V43" i="18"/>
  <c r="J47" i="18"/>
  <c r="V51" i="18"/>
  <c r="H56" i="18"/>
  <c r="V63" i="18"/>
  <c r="J67" i="18"/>
  <c r="J71" i="18"/>
  <c r="V75" i="18"/>
  <c r="J79" i="18"/>
  <c r="V83" i="18"/>
  <c r="J85" i="18"/>
  <c r="J91" i="18"/>
  <c r="V95" i="18"/>
  <c r="J97" i="18"/>
  <c r="J105" i="18"/>
  <c r="V107" i="18"/>
  <c r="V108" i="18"/>
  <c r="J116" i="18"/>
  <c r="V117" i="18"/>
  <c r="V127" i="18"/>
  <c r="J131" i="18"/>
  <c r="J137" i="18"/>
  <c r="N138" i="18"/>
  <c r="V157" i="18"/>
  <c r="R84" i="21"/>
  <c r="V21" i="22"/>
  <c r="V18" i="22"/>
  <c r="V36" i="22"/>
  <c r="V33" i="22"/>
  <c r="V29" i="22"/>
  <c r="V25" i="22"/>
  <c r="T18" i="22"/>
  <c r="X18" i="22" s="1"/>
  <c r="V15" i="22"/>
  <c r="V22" i="22"/>
  <c r="V20" i="22"/>
  <c r="V16" i="22"/>
  <c r="Z12" i="22"/>
  <c r="V34" i="22"/>
  <c r="V31" i="22"/>
  <c r="V27" i="22"/>
  <c r="X19" i="25"/>
  <c r="Z19" i="25" s="1"/>
  <c r="Z33" i="25"/>
  <c r="N87" i="25"/>
  <c r="R27" i="26"/>
  <c r="X19" i="28"/>
  <c r="H124" i="28"/>
  <c r="X12" i="13"/>
  <c r="J21" i="13"/>
  <c r="X24" i="13"/>
  <c r="F27" i="13"/>
  <c r="F31" i="13"/>
  <c r="F34" i="13"/>
  <c r="L15" i="14"/>
  <c r="X21" i="14"/>
  <c r="F24" i="14"/>
  <c r="V24" i="14"/>
  <c r="L25" i="14"/>
  <c r="L29" i="14"/>
  <c r="L33" i="14"/>
  <c r="L21" i="15"/>
  <c r="N21" i="15" s="1"/>
  <c r="V24" i="15"/>
  <c r="V32" i="15"/>
  <c r="V40" i="15"/>
  <c r="J44" i="15"/>
  <c r="V48" i="15"/>
  <c r="J56" i="15"/>
  <c r="V60" i="15"/>
  <c r="V64" i="15"/>
  <c r="J68" i="15"/>
  <c r="V72" i="15"/>
  <c r="V76" i="15"/>
  <c r="J80" i="15"/>
  <c r="V84" i="15"/>
  <c r="V88" i="15"/>
  <c r="J92" i="15"/>
  <c r="V96" i="15"/>
  <c r="V100" i="15"/>
  <c r="J104" i="15"/>
  <c r="V108" i="15"/>
  <c r="V112" i="15"/>
  <c r="J116" i="15"/>
  <c r="J120" i="15"/>
  <c r="V124" i="15"/>
  <c r="J128" i="15"/>
  <c r="J136" i="15"/>
  <c r="J140" i="15"/>
  <c r="J144" i="15"/>
  <c r="J149" i="15"/>
  <c r="L12" i="16"/>
  <c r="F15" i="16"/>
  <c r="V15" i="16"/>
  <c r="D18" i="16"/>
  <c r="T18" i="16"/>
  <c r="R21" i="16"/>
  <c r="F25" i="16"/>
  <c r="V25" i="16"/>
  <c r="F29" i="16"/>
  <c r="V29" i="16"/>
  <c r="F33" i="16"/>
  <c r="V33" i="16"/>
  <c r="F36" i="16"/>
  <c r="V36" i="16"/>
  <c r="J16" i="17"/>
  <c r="R18" i="17"/>
  <c r="V22" i="17"/>
  <c r="J153" i="18"/>
  <c r="J140" i="18"/>
  <c r="J136" i="18"/>
  <c r="J130" i="18"/>
  <c r="J118" i="18"/>
  <c r="J139" i="18"/>
  <c r="J135" i="18"/>
  <c r="J155" i="18"/>
  <c r="J150" i="18"/>
  <c r="J146" i="18"/>
  <c r="J142" i="18"/>
  <c r="J134" i="18"/>
  <c r="J126" i="18"/>
  <c r="J122" i="18"/>
  <c r="J110" i="18"/>
  <c r="J98" i="18"/>
  <c r="J152" i="18"/>
  <c r="J145" i="18"/>
  <c r="J133" i="18"/>
  <c r="J129" i="18"/>
  <c r="J125" i="18"/>
  <c r="J121" i="18"/>
  <c r="J117" i="18"/>
  <c r="J154" i="18"/>
  <c r="J141" i="18"/>
  <c r="J151" i="18"/>
  <c r="J114" i="18"/>
  <c r="J106" i="18"/>
  <c r="J24" i="18"/>
  <c r="V28" i="18"/>
  <c r="J32" i="18"/>
  <c r="V36" i="18"/>
  <c r="J40" i="18"/>
  <c r="V44" i="18"/>
  <c r="J48" i="18"/>
  <c r="V52" i="18"/>
  <c r="J56" i="18"/>
  <c r="J60" i="18"/>
  <c r="V64" i="18"/>
  <c r="J68" i="18"/>
  <c r="J72" i="18"/>
  <c r="V76" i="18"/>
  <c r="J80" i="18"/>
  <c r="V84" i="18"/>
  <c r="J88" i="18"/>
  <c r="J92" i="18"/>
  <c r="V96" i="18"/>
  <c r="L99" i="18"/>
  <c r="V99" i="18"/>
  <c r="V100" i="18"/>
  <c r="V101" i="18"/>
  <c r="J115" i="18"/>
  <c r="Z118" i="18"/>
  <c r="J138" i="18"/>
  <c r="L22" i="19"/>
  <c r="X12" i="21"/>
  <c r="R48" i="21"/>
  <c r="R60" i="21"/>
  <c r="R27" i="23"/>
  <c r="T31" i="25"/>
  <c r="Z87" i="25"/>
  <c r="Z19" i="28"/>
  <c r="D153" i="12"/>
  <c r="L153" i="12" s="1"/>
  <c r="N153" i="12" s="1"/>
  <c r="Z12" i="13"/>
  <c r="F16" i="13"/>
  <c r="V16" i="13"/>
  <c r="R22" i="13"/>
  <c r="J24" i="13"/>
  <c r="X12" i="14"/>
  <c r="F27" i="14"/>
  <c r="V27" i="14"/>
  <c r="F31" i="14"/>
  <c r="V31" i="14"/>
  <c r="V25" i="15"/>
  <c r="J29" i="15"/>
  <c r="V33" i="15"/>
  <c r="J37" i="15"/>
  <c r="V41" i="15"/>
  <c r="J45" i="15"/>
  <c r="V53" i="15"/>
  <c r="J57" i="15"/>
  <c r="V61" i="15"/>
  <c r="V65" i="15"/>
  <c r="J69" i="15"/>
  <c r="V73" i="15"/>
  <c r="J75" i="15"/>
  <c r="V81" i="15"/>
  <c r="V85" i="15"/>
  <c r="J87" i="15"/>
  <c r="V93" i="15"/>
  <c r="V97" i="15"/>
  <c r="J99" i="15"/>
  <c r="V105" i="15"/>
  <c r="J107" i="15"/>
  <c r="V109" i="15"/>
  <c r="V113" i="15"/>
  <c r="V117" i="15"/>
  <c r="V121" i="15"/>
  <c r="V125" i="15"/>
  <c r="J129" i="15"/>
  <c r="J133" i="15"/>
  <c r="V137" i="15"/>
  <c r="V141" i="15"/>
  <c r="V145" i="15"/>
  <c r="V153" i="15"/>
  <c r="N12" i="16"/>
  <c r="R24" i="16"/>
  <c r="L12" i="17"/>
  <c r="F15" i="17"/>
  <c r="V15" i="17"/>
  <c r="D18" i="17"/>
  <c r="T18" i="17"/>
  <c r="F25" i="17"/>
  <c r="V25" i="17"/>
  <c r="F29" i="17"/>
  <c r="V29" i="17"/>
  <c r="F33" i="17"/>
  <c r="V33" i="17"/>
  <c r="V21" i="18"/>
  <c r="J25" i="18"/>
  <c r="V29" i="18"/>
  <c r="J33" i="18"/>
  <c r="V37" i="18"/>
  <c r="J41" i="18"/>
  <c r="V45" i="18"/>
  <c r="J49" i="18"/>
  <c r="V53" i="18"/>
  <c r="J61" i="18"/>
  <c r="V65" i="18"/>
  <c r="J69" i="18"/>
  <c r="J73" i="18"/>
  <c r="V77" i="18"/>
  <c r="V81" i="18"/>
  <c r="J83" i="18"/>
  <c r="J89" i="18"/>
  <c r="V93" i="18"/>
  <c r="J95" i="18"/>
  <c r="V103" i="18"/>
  <c r="V104" i="18"/>
  <c r="V111" i="18"/>
  <c r="L130" i="18"/>
  <c r="N130" i="18" s="1"/>
  <c r="V131" i="18"/>
  <c r="X138" i="18"/>
  <c r="Z138" i="18" s="1"/>
  <c r="Z150" i="18"/>
  <c r="L13" i="19"/>
  <c r="X28" i="21"/>
  <c r="R36" i="21"/>
  <c r="L50" i="21"/>
  <c r="X56" i="21"/>
  <c r="V24" i="22"/>
  <c r="L29" i="24"/>
  <c r="X14" i="25"/>
  <c r="P12" i="25"/>
  <c r="Z45" i="25"/>
  <c r="H93" i="25"/>
  <c r="R34" i="26"/>
  <c r="R25" i="13"/>
  <c r="J27" i="13"/>
  <c r="R29" i="13"/>
  <c r="J31" i="13"/>
  <c r="R33" i="13"/>
  <c r="V26" i="15"/>
  <c r="V34" i="15"/>
  <c r="V42" i="15"/>
  <c r="V54" i="15"/>
  <c r="J58" i="15"/>
  <c r="V62" i="15"/>
  <c r="J64" i="15"/>
  <c r="V66" i="15"/>
  <c r="J70" i="15"/>
  <c r="V74" i="15"/>
  <c r="J78" i="15"/>
  <c r="V82" i="15"/>
  <c r="J84" i="15"/>
  <c r="V86" i="15"/>
  <c r="J90" i="15"/>
  <c r="V94" i="15"/>
  <c r="J96" i="15"/>
  <c r="V98" i="15"/>
  <c r="J102" i="15"/>
  <c r="V106" i="15"/>
  <c r="V110" i="15"/>
  <c r="J112" i="15"/>
  <c r="V114" i="15"/>
  <c r="V118" i="15"/>
  <c r="V122" i="15"/>
  <c r="J124" i="15"/>
  <c r="V126" i="15"/>
  <c r="J130" i="15"/>
  <c r="J134" i="15"/>
  <c r="V138" i="15"/>
  <c r="V142" i="15"/>
  <c r="R27" i="16"/>
  <c r="R31" i="16"/>
  <c r="J62" i="18"/>
  <c r="V66" i="18"/>
  <c r="V70" i="18"/>
  <c r="J74" i="18"/>
  <c r="V78" i="18"/>
  <c r="V82" i="18"/>
  <c r="J86" i="18"/>
  <c r="V90" i="18"/>
  <c r="V94" i="18"/>
  <c r="J107" i="18"/>
  <c r="V109" i="18"/>
  <c r="V115" i="18"/>
  <c r="J120" i="18"/>
  <c r="V121" i="18"/>
  <c r="V123" i="18"/>
  <c r="V150" i="18"/>
  <c r="J21" i="20"/>
  <c r="L27" i="21"/>
  <c r="N27" i="21" s="1"/>
  <c r="Z28" i="21"/>
  <c r="R40" i="21"/>
  <c r="Z56" i="21"/>
  <c r="N76" i="21"/>
  <c r="X34" i="22"/>
  <c r="L33" i="24"/>
  <c r="T27" i="26"/>
  <c r="X24" i="26"/>
  <c r="R31" i="26"/>
  <c r="X14" i="28"/>
  <c r="P12" i="28"/>
  <c r="X42" i="28"/>
  <c r="Z42" i="28" s="1"/>
  <c r="R15" i="19"/>
  <c r="P18" i="19"/>
  <c r="R25" i="19"/>
  <c r="J27" i="19"/>
  <c r="R29" i="19"/>
  <c r="J31" i="19"/>
  <c r="R33" i="19"/>
  <c r="J34" i="19"/>
  <c r="R36" i="19"/>
  <c r="Z12" i="20"/>
  <c r="F16" i="20"/>
  <c r="V16" i="20"/>
  <c r="F20" i="20"/>
  <c r="V20" i="20"/>
  <c r="R22" i="20"/>
  <c r="Z12" i="21"/>
  <c r="V28" i="21"/>
  <c r="J32" i="21"/>
  <c r="V36" i="21"/>
  <c r="V40" i="21"/>
  <c r="J44" i="21"/>
  <c r="V48" i="21"/>
  <c r="J50" i="21"/>
  <c r="V56" i="21"/>
  <c r="V60" i="21"/>
  <c r="J64" i="21"/>
  <c r="V68" i="21"/>
  <c r="V72" i="21"/>
  <c r="V84" i="21"/>
  <c r="V88" i="21"/>
  <c r="J90" i="21"/>
  <c r="X12" i="22"/>
  <c r="J21" i="22"/>
  <c r="F27" i="22"/>
  <c r="F31" i="22"/>
  <c r="F34" i="22"/>
  <c r="J18" i="23"/>
  <c r="F24" i="23"/>
  <c r="V24" i="23"/>
  <c r="J15" i="24"/>
  <c r="H18" i="24"/>
  <c r="V21" i="24"/>
  <c r="J25" i="24"/>
  <c r="R27" i="24"/>
  <c r="J29" i="24"/>
  <c r="R31" i="24"/>
  <c r="J33" i="24"/>
  <c r="R34" i="24"/>
  <c r="J36" i="24"/>
  <c r="V19" i="25"/>
  <c r="J23" i="25"/>
  <c r="V27" i="25"/>
  <c r="J31" i="25"/>
  <c r="J35" i="25"/>
  <c r="V39" i="25"/>
  <c r="J43" i="25"/>
  <c r="J47" i="25"/>
  <c r="V51" i="25"/>
  <c r="J55" i="25"/>
  <c r="V59" i="25"/>
  <c r="J63" i="25"/>
  <c r="V67" i="25"/>
  <c r="J69" i="25"/>
  <c r="J79" i="25"/>
  <c r="J83" i="25"/>
  <c r="J87" i="25"/>
  <c r="J93" i="25"/>
  <c r="J18" i="26"/>
  <c r="Z18" i="26"/>
  <c r="F24" i="26"/>
  <c r="V24" i="26"/>
  <c r="J15" i="27"/>
  <c r="H18" i="27"/>
  <c r="V21" i="27"/>
  <c r="J25" i="27"/>
  <c r="R27" i="27"/>
  <c r="J29" i="27"/>
  <c r="R31" i="27"/>
  <c r="J33" i="27"/>
  <c r="R34" i="27"/>
  <c r="J36" i="27"/>
  <c r="V19" i="28"/>
  <c r="J23" i="28"/>
  <c r="V27" i="28"/>
  <c r="J31" i="28"/>
  <c r="V35" i="28"/>
  <c r="V42" i="28"/>
  <c r="J55" i="28"/>
  <c r="V58" i="28"/>
  <c r="V59" i="28"/>
  <c r="J63" i="28"/>
  <c r="N64" i="28"/>
  <c r="Z66" i="28"/>
  <c r="V67" i="28"/>
  <c r="Z72" i="28"/>
  <c r="L74" i="28"/>
  <c r="N76" i="28"/>
  <c r="J91" i="28"/>
  <c r="Z100" i="28"/>
  <c r="Z25" i="31"/>
  <c r="V25" i="31"/>
  <c r="T129" i="34"/>
  <c r="J16" i="19"/>
  <c r="J20" i="19"/>
  <c r="V22" i="19"/>
  <c r="R15" i="20"/>
  <c r="P18" i="20"/>
  <c r="R25" i="20"/>
  <c r="R29" i="20"/>
  <c r="R33" i="20"/>
  <c r="R36" i="20"/>
  <c r="D12" i="21"/>
  <c r="J21" i="21"/>
  <c r="J33" i="21"/>
  <c r="J39" i="21"/>
  <c r="J45" i="21"/>
  <c r="V49" i="21"/>
  <c r="J53" i="21"/>
  <c r="V57" i="21"/>
  <c r="J59" i="21"/>
  <c r="V65" i="21"/>
  <c r="J67" i="21"/>
  <c r="J77" i="21"/>
  <c r="J81" i="21"/>
  <c r="V85" i="21"/>
  <c r="J87" i="21"/>
  <c r="V89" i="21"/>
  <c r="J93" i="21"/>
  <c r="V95" i="21"/>
  <c r="J99" i="21"/>
  <c r="F16" i="22"/>
  <c r="F20" i="22"/>
  <c r="F27" i="23"/>
  <c r="F31" i="23"/>
  <c r="F34" i="23"/>
  <c r="L15" i="24"/>
  <c r="J18" i="24"/>
  <c r="V24" i="24"/>
  <c r="V20" i="25"/>
  <c r="J24" i="25"/>
  <c r="V28" i="25"/>
  <c r="J36" i="25"/>
  <c r="V40" i="25"/>
  <c r="J44" i="25"/>
  <c r="J48" i="25"/>
  <c r="V52" i="25"/>
  <c r="V56" i="25"/>
  <c r="J58" i="25"/>
  <c r="V64" i="25"/>
  <c r="V68" i="25"/>
  <c r="J72" i="25"/>
  <c r="J76" i="25"/>
  <c r="J80" i="25"/>
  <c r="V84" i="25"/>
  <c r="V88" i="25"/>
  <c r="F27" i="26"/>
  <c r="F31" i="26"/>
  <c r="F34" i="26"/>
  <c r="L15" i="27"/>
  <c r="J18" i="27"/>
  <c r="V24" i="27"/>
  <c r="V112" i="28"/>
  <c r="V104" i="28"/>
  <c r="V100" i="28"/>
  <c r="V84" i="28"/>
  <c r="V72" i="28"/>
  <c r="V64" i="28"/>
  <c r="V60" i="28"/>
  <c r="V48" i="28"/>
  <c r="V121" i="28"/>
  <c r="V115" i="28"/>
  <c r="V111" i="28"/>
  <c r="V126" i="28"/>
  <c r="V114" i="28"/>
  <c r="V117" i="28"/>
  <c r="V113" i="28"/>
  <c r="V89" i="28"/>
  <c r="V120" i="28"/>
  <c r="V116" i="28"/>
  <c r="V108" i="28"/>
  <c r="V96" i="28"/>
  <c r="V92" i="28"/>
  <c r="V88" i="28"/>
  <c r="V80" i="28"/>
  <c r="V76" i="28"/>
  <c r="V68" i="28"/>
  <c r="V56" i="28"/>
  <c r="V52" i="28"/>
  <c r="V44" i="28"/>
  <c r="V107" i="28"/>
  <c r="V99" i="28"/>
  <c r="V95" i="28"/>
  <c r="V91" i="28"/>
  <c r="V83" i="28"/>
  <c r="V79" i="28"/>
  <c r="V122" i="28"/>
  <c r="V110" i="28"/>
  <c r="V106" i="28"/>
  <c r="V102" i="28"/>
  <c r="V98" i="28"/>
  <c r="V94" i="28"/>
  <c r="V90" i="28"/>
  <c r="V82" i="28"/>
  <c r="V70" i="28"/>
  <c r="V62" i="28"/>
  <c r="V119" i="28"/>
  <c r="V109" i="28"/>
  <c r="V105" i="28"/>
  <c r="V101" i="28"/>
  <c r="V97" i="28"/>
  <c r="V93" i="28"/>
  <c r="V85" i="28"/>
  <c r="V73" i="28"/>
  <c r="V65" i="28"/>
  <c r="V61" i="28"/>
  <c r="V20" i="28"/>
  <c r="J24" i="28"/>
  <c r="V28" i="28"/>
  <c r="J32" i="28"/>
  <c r="V36" i="28"/>
  <c r="V37" i="28"/>
  <c r="N42" i="28"/>
  <c r="X43" i="28"/>
  <c r="Z43" i="28" s="1"/>
  <c r="V45" i="28"/>
  <c r="V46" i="28"/>
  <c r="V47" i="28"/>
  <c r="V57" i="28"/>
  <c r="J62" i="28"/>
  <c r="V66" i="28"/>
  <c r="J76" i="28"/>
  <c r="V78" i="28"/>
  <c r="J98" i="28"/>
  <c r="J22" i="21"/>
  <c r="J28" i="21"/>
  <c r="J34" i="21"/>
  <c r="J46" i="21"/>
  <c r="J56" i="21"/>
  <c r="J62" i="21"/>
  <c r="J70" i="21"/>
  <c r="J74" i="21"/>
  <c r="J78" i="21"/>
  <c r="J82" i="21"/>
  <c r="V86" i="21"/>
  <c r="J21" i="24"/>
  <c r="V34" i="24"/>
  <c r="J19" i="25"/>
  <c r="J25" i="25"/>
  <c r="J37" i="25"/>
  <c r="V41" i="25"/>
  <c r="V45" i="25"/>
  <c r="J49" i="25"/>
  <c r="V53" i="25"/>
  <c r="V57" i="25"/>
  <c r="J61" i="25"/>
  <c r="V65" i="25"/>
  <c r="J67" i="25"/>
  <c r="J73" i="25"/>
  <c r="J77" i="25"/>
  <c r="V81" i="25"/>
  <c r="V85" i="25"/>
  <c r="J90" i="25"/>
  <c r="V91" i="25"/>
  <c r="J95" i="25"/>
  <c r="X13" i="26"/>
  <c r="X12" i="27"/>
  <c r="J21" i="27"/>
  <c r="V27" i="27"/>
  <c r="V31" i="27"/>
  <c r="V34" i="27"/>
  <c r="J19" i="28"/>
  <c r="V21" i="28"/>
  <c r="J25" i="28"/>
  <c r="V29" i="28"/>
  <c r="J33" i="28"/>
  <c r="V38" i="28"/>
  <c r="J42" i="28"/>
  <c r="V53" i="28"/>
  <c r="J61" i="28"/>
  <c r="J73" i="28"/>
  <c r="V77" i="28"/>
  <c r="J83" i="28"/>
  <c r="J94" i="28"/>
  <c r="T31" i="30"/>
  <c r="N12" i="19"/>
  <c r="V18" i="19"/>
  <c r="J22" i="19"/>
  <c r="L12" i="20"/>
  <c r="F15" i="20"/>
  <c r="D18" i="20"/>
  <c r="T18" i="20"/>
  <c r="R21" i="20"/>
  <c r="F25" i="20"/>
  <c r="V25" i="20"/>
  <c r="F29" i="20"/>
  <c r="V29" i="20"/>
  <c r="F33" i="20"/>
  <c r="V33" i="20"/>
  <c r="F36" i="20"/>
  <c r="V36" i="20"/>
  <c r="X16" i="21"/>
  <c r="Z16" i="21" s="1"/>
  <c r="J23" i="21"/>
  <c r="V25" i="21"/>
  <c r="J27" i="21"/>
  <c r="V27" i="21"/>
  <c r="V31" i="21"/>
  <c r="J35" i="21"/>
  <c r="V43" i="21"/>
  <c r="J47" i="21"/>
  <c r="J51" i="21"/>
  <c r="V55" i="21"/>
  <c r="V63" i="21"/>
  <c r="J65" i="21"/>
  <c r="J71" i="21"/>
  <c r="J75" i="21"/>
  <c r="J79" i="21"/>
  <c r="J83" i="21"/>
  <c r="J91" i="21"/>
  <c r="J95" i="21"/>
  <c r="J16" i="22"/>
  <c r="J20" i="22"/>
  <c r="F22" i="22"/>
  <c r="Z12" i="24"/>
  <c r="V16" i="24"/>
  <c r="V20" i="24"/>
  <c r="J24" i="24"/>
  <c r="V22" i="25"/>
  <c r="J26" i="25"/>
  <c r="V34" i="25"/>
  <c r="J38" i="25"/>
  <c r="V42" i="25"/>
  <c r="V46" i="25"/>
  <c r="J50" i="25"/>
  <c r="V54" i="25"/>
  <c r="J56" i="25"/>
  <c r="V62" i="25"/>
  <c r="J64" i="25"/>
  <c r="V66" i="25"/>
  <c r="J70" i="25"/>
  <c r="J74" i="25"/>
  <c r="V78" i="25"/>
  <c r="V82" i="25"/>
  <c r="J84" i="25"/>
  <c r="Z12" i="27"/>
  <c r="V16" i="27"/>
  <c r="V20" i="27"/>
  <c r="J24" i="27"/>
  <c r="V22" i="28"/>
  <c r="J26" i="28"/>
  <c r="V30" i="28"/>
  <c r="J34" i="28"/>
  <c r="T40" i="28"/>
  <c r="J51" i="28"/>
  <c r="V54" i="28"/>
  <c r="V63" i="28"/>
  <c r="V75" i="28"/>
  <c r="L86" i="28"/>
  <c r="N86" i="28" s="1"/>
  <c r="N88" i="28"/>
  <c r="R127" i="34"/>
  <c r="R115" i="34"/>
  <c r="R111" i="34"/>
  <c r="R103" i="34"/>
  <c r="R99" i="34"/>
  <c r="R95" i="34"/>
  <c r="R83" i="34"/>
  <c r="R71" i="34"/>
  <c r="R68" i="34"/>
  <c r="R59" i="34"/>
  <c r="R47" i="34"/>
  <c r="R42" i="34"/>
  <c r="R35" i="34"/>
  <c r="R110" i="34"/>
  <c r="R106" i="34"/>
  <c r="R102" i="34"/>
  <c r="R98" i="34"/>
  <c r="R94" i="34"/>
  <c r="R91" i="34"/>
  <c r="R124" i="34"/>
  <c r="R126" i="34"/>
  <c r="R120" i="34"/>
  <c r="R108" i="34"/>
  <c r="R93" i="34"/>
  <c r="R88" i="34"/>
  <c r="R131" i="34"/>
  <c r="R119" i="34"/>
  <c r="R116" i="34"/>
  <c r="R104" i="34"/>
  <c r="R100" i="34"/>
  <c r="R96" i="34"/>
  <c r="R72" i="34"/>
  <c r="R67" i="34"/>
  <c r="R63" i="34"/>
  <c r="R51" i="34"/>
  <c r="R39" i="34"/>
  <c r="R125" i="34"/>
  <c r="R118" i="34"/>
  <c r="R113" i="34"/>
  <c r="R81" i="34"/>
  <c r="R121" i="34"/>
  <c r="R112" i="34"/>
  <c r="R92" i="34"/>
  <c r="R84" i="34"/>
  <c r="R78" i="34"/>
  <c r="R77" i="34"/>
  <c r="R55" i="34"/>
  <c r="R50" i="34"/>
  <c r="R49" i="34"/>
  <c r="R48" i="34"/>
  <c r="R33" i="34"/>
  <c r="R25" i="34"/>
  <c r="R107" i="34"/>
  <c r="R69" i="34"/>
  <c r="R32" i="34"/>
  <c r="R24" i="34"/>
  <c r="R54" i="34"/>
  <c r="R53" i="34"/>
  <c r="R52" i="34"/>
  <c r="R44" i="34"/>
  <c r="R31" i="34"/>
  <c r="R23" i="34"/>
  <c r="R117" i="34"/>
  <c r="R76" i="34"/>
  <c r="R75" i="34"/>
  <c r="R66" i="34"/>
  <c r="R30" i="34"/>
  <c r="R22" i="34"/>
  <c r="X12" i="34"/>
  <c r="Z12" i="34" s="1"/>
  <c r="R109" i="34"/>
  <c r="R29" i="34"/>
  <c r="R21" i="34"/>
  <c r="R105" i="34"/>
  <c r="R89" i="34"/>
  <c r="R87" i="34"/>
  <c r="R74" i="34"/>
  <c r="R73" i="34"/>
  <c r="R65" i="34"/>
  <c r="R62" i="34"/>
  <c r="R61" i="34"/>
  <c r="R58" i="34"/>
  <c r="R57" i="34"/>
  <c r="R28" i="34"/>
  <c r="R20" i="34"/>
  <c r="R114" i="34"/>
  <c r="R101" i="34"/>
  <c r="R86" i="34"/>
  <c r="R85" i="34"/>
  <c r="R80" i="34"/>
  <c r="R79" i="34"/>
  <c r="R64" i="34"/>
  <c r="R60" i="34"/>
  <c r="R56" i="34"/>
  <c r="R46" i="34"/>
  <c r="R45" i="34"/>
  <c r="P42" i="34"/>
  <c r="R38" i="34"/>
  <c r="R37" i="34"/>
  <c r="R27" i="34"/>
  <c r="R122" i="34"/>
  <c r="R97" i="34"/>
  <c r="R90" i="34"/>
  <c r="R82" i="34"/>
  <c r="R70" i="34"/>
  <c r="R40" i="34"/>
  <c r="R36" i="34"/>
  <c r="R34" i="34"/>
  <c r="R26" i="34"/>
  <c r="R19" i="34"/>
  <c r="J15" i="19"/>
  <c r="H18" i="19"/>
  <c r="F21" i="19"/>
  <c r="V21" i="19"/>
  <c r="J25" i="19"/>
  <c r="R27" i="19"/>
  <c r="J29" i="19"/>
  <c r="R31" i="19"/>
  <c r="J33" i="19"/>
  <c r="J36" i="19"/>
  <c r="F18" i="20"/>
  <c r="V18" i="20"/>
  <c r="R24" i="20"/>
  <c r="V20" i="21"/>
  <c r="H25" i="21"/>
  <c r="V32" i="21"/>
  <c r="J36" i="21"/>
  <c r="J40" i="21"/>
  <c r="V44" i="21"/>
  <c r="J48" i="21"/>
  <c r="V52" i="21"/>
  <c r="J54" i="21"/>
  <c r="J60" i="21"/>
  <c r="V64" i="21"/>
  <c r="J68" i="21"/>
  <c r="J72" i="21"/>
  <c r="V76" i="21"/>
  <c r="V80" i="21"/>
  <c r="J84" i="21"/>
  <c r="J88" i="21"/>
  <c r="V92" i="21"/>
  <c r="L95" i="21"/>
  <c r="T97" i="21"/>
  <c r="L12" i="22"/>
  <c r="F15" i="22"/>
  <c r="D18" i="22"/>
  <c r="R21" i="22"/>
  <c r="F25" i="22"/>
  <c r="F29" i="22"/>
  <c r="F33" i="22"/>
  <c r="F36" i="22"/>
  <c r="J16" i="23"/>
  <c r="F22" i="23"/>
  <c r="R15" i="24"/>
  <c r="P18" i="24"/>
  <c r="R25" i="24"/>
  <c r="J27" i="24"/>
  <c r="R29" i="24"/>
  <c r="J31" i="24"/>
  <c r="R33" i="24"/>
  <c r="J34" i="24"/>
  <c r="D12" i="25"/>
  <c r="V23" i="25"/>
  <c r="J27" i="25"/>
  <c r="V35" i="25"/>
  <c r="J39" i="25"/>
  <c r="V43" i="25"/>
  <c r="J45" i="25"/>
  <c r="V47" i="25"/>
  <c r="J51" i="25"/>
  <c r="V55" i="25"/>
  <c r="J59" i="25"/>
  <c r="V63" i="25"/>
  <c r="V71" i="25"/>
  <c r="V75" i="25"/>
  <c r="V79" i="25"/>
  <c r="J81" i="25"/>
  <c r="V83" i="25"/>
  <c r="J88" i="25"/>
  <c r="V89" i="25"/>
  <c r="J16" i="26"/>
  <c r="F22" i="26"/>
  <c r="R15" i="27"/>
  <c r="P18" i="27"/>
  <c r="R25" i="27"/>
  <c r="J27" i="27"/>
  <c r="R29" i="27"/>
  <c r="J31" i="27"/>
  <c r="R33" i="27"/>
  <c r="J34" i="27"/>
  <c r="D12" i="28"/>
  <c r="V23" i="28"/>
  <c r="J27" i="28"/>
  <c r="V31" i="28"/>
  <c r="J35" i="28"/>
  <c r="V40" i="28"/>
  <c r="V43" i="28"/>
  <c r="J49" i="28"/>
  <c r="J50" i="28"/>
  <c r="V55" i="28"/>
  <c r="J59" i="28"/>
  <c r="Z64" i="28"/>
  <c r="L66" i="28"/>
  <c r="N66" i="28" s="1"/>
  <c r="J67" i="28"/>
  <c r="J71" i="28"/>
  <c r="N72" i="28"/>
  <c r="Z84" i="28"/>
  <c r="N27" i="29"/>
  <c r="H78" i="31"/>
  <c r="Z45" i="34"/>
  <c r="J18" i="19"/>
  <c r="V24" i="19"/>
  <c r="R27" i="20"/>
  <c r="R31" i="20"/>
  <c r="R34" i="20"/>
  <c r="J25" i="21"/>
  <c r="J29" i="21"/>
  <c r="J37" i="21"/>
  <c r="J41" i="21"/>
  <c r="J49" i="21"/>
  <c r="J57" i="21"/>
  <c r="V61" i="21"/>
  <c r="J63" i="21"/>
  <c r="V69" i="21"/>
  <c r="V73" i="21"/>
  <c r="V77" i="21"/>
  <c r="V81" i="21"/>
  <c r="J85" i="21"/>
  <c r="J89" i="21"/>
  <c r="V93" i="21"/>
  <c r="V97" i="21"/>
  <c r="V99" i="21"/>
  <c r="F18" i="22"/>
  <c r="P27" i="22"/>
  <c r="J16" i="24"/>
  <c r="J20" i="24"/>
  <c r="J20" i="25"/>
  <c r="J28" i="25"/>
  <c r="J34" i="25"/>
  <c r="V36" i="25"/>
  <c r="J40" i="25"/>
  <c r="V44" i="25"/>
  <c r="V48" i="25"/>
  <c r="J52" i="25"/>
  <c r="V60" i="25"/>
  <c r="J62" i="25"/>
  <c r="J68" i="25"/>
  <c r="V72" i="25"/>
  <c r="V76" i="25"/>
  <c r="J78" i="25"/>
  <c r="V80" i="25"/>
  <c r="J91" i="25"/>
  <c r="F29" i="26"/>
  <c r="F33" i="26"/>
  <c r="F36" i="26"/>
  <c r="J16" i="27"/>
  <c r="J20" i="27"/>
  <c r="V22" i="27"/>
  <c r="J124" i="28"/>
  <c r="J108" i="28"/>
  <c r="J96" i="28"/>
  <c r="J92" i="28"/>
  <c r="J86" i="28"/>
  <c r="J80" i="28"/>
  <c r="J74" i="28"/>
  <c r="J66" i="28"/>
  <c r="J56" i="28"/>
  <c r="J52" i="28"/>
  <c r="J44" i="28"/>
  <c r="J40" i="28"/>
  <c r="J120" i="28"/>
  <c r="J113" i="28"/>
  <c r="J116" i="28"/>
  <c r="J110" i="28"/>
  <c r="J106" i="28"/>
  <c r="J102" i="28"/>
  <c r="J122" i="28"/>
  <c r="J105" i="28"/>
  <c r="J101" i="28"/>
  <c r="J85" i="28"/>
  <c r="J112" i="28"/>
  <c r="J104" i="28"/>
  <c r="J90" i="28"/>
  <c r="J82" i="28"/>
  <c r="J70" i="28"/>
  <c r="J60" i="28"/>
  <c r="J48" i="28"/>
  <c r="J119" i="28"/>
  <c r="J115" i="28"/>
  <c r="J109" i="28"/>
  <c r="J97" i="28"/>
  <c r="J93" i="28"/>
  <c r="J87" i="28"/>
  <c r="J75" i="28"/>
  <c r="J126" i="28"/>
  <c r="J121" i="28"/>
  <c r="J114" i="28"/>
  <c r="J100" i="28"/>
  <c r="J84" i="28"/>
  <c r="J78" i="28"/>
  <c r="J72" i="28"/>
  <c r="J64" i="28"/>
  <c r="J58" i="28"/>
  <c r="J117" i="28"/>
  <c r="J111" i="28"/>
  <c r="J103" i="28"/>
  <c r="J89" i="28"/>
  <c r="J81" i="28"/>
  <c r="J77" i="28"/>
  <c r="J69" i="28"/>
  <c r="J57" i="28"/>
  <c r="J20" i="28"/>
  <c r="V24" i="28"/>
  <c r="J28" i="28"/>
  <c r="V32" i="28"/>
  <c r="J36" i="28"/>
  <c r="J47" i="28"/>
  <c r="J53" i="28"/>
  <c r="N68" i="28"/>
  <c r="V74" i="28"/>
  <c r="L25" i="31"/>
  <c r="N25" i="31" s="1"/>
  <c r="X12" i="19"/>
  <c r="F27" i="19"/>
  <c r="V27" i="19"/>
  <c r="F31" i="19"/>
  <c r="V31" i="19"/>
  <c r="R16" i="20"/>
  <c r="J20" i="21"/>
  <c r="V22" i="21"/>
  <c r="J30" i="21"/>
  <c r="V34" i="21"/>
  <c r="J38" i="21"/>
  <c r="J42" i="21"/>
  <c r="V46" i="21"/>
  <c r="V50" i="21"/>
  <c r="J52" i="21"/>
  <c r="J58" i="21"/>
  <c r="V62" i="21"/>
  <c r="J66" i="21"/>
  <c r="V70" i="21"/>
  <c r="V74" i="21"/>
  <c r="J76" i="21"/>
  <c r="V78" i="21"/>
  <c r="J80" i="21"/>
  <c r="V82" i="21"/>
  <c r="J86" i="21"/>
  <c r="J15" i="22"/>
  <c r="H18" i="22"/>
  <c r="J25" i="22"/>
  <c r="R27" i="22"/>
  <c r="J29" i="22"/>
  <c r="R31" i="22"/>
  <c r="J33" i="22"/>
  <c r="V15" i="24"/>
  <c r="T18" i="24"/>
  <c r="V25" i="24"/>
  <c r="V29" i="24"/>
  <c r="V33" i="24"/>
  <c r="J21" i="25"/>
  <c r="V25" i="25"/>
  <c r="J29" i="25"/>
  <c r="V31" i="25"/>
  <c r="J33" i="25"/>
  <c r="V33" i="25"/>
  <c r="V37" i="25"/>
  <c r="J41" i="25"/>
  <c r="V49" i="25"/>
  <c r="J53" i="25"/>
  <c r="J57" i="25"/>
  <c r="V61" i="25"/>
  <c r="J65" i="25"/>
  <c r="V69" i="25"/>
  <c r="J71" i="25"/>
  <c r="V73" i="25"/>
  <c r="J75" i="25"/>
  <c r="V77" i="25"/>
  <c r="V87" i="25"/>
  <c r="V95" i="25"/>
  <c r="V15" i="27"/>
  <c r="T18" i="27"/>
  <c r="V25" i="27"/>
  <c r="V29" i="27"/>
  <c r="V33" i="27"/>
  <c r="J21" i="28"/>
  <c r="V25" i="28"/>
  <c r="J29" i="28"/>
  <c r="V33" i="28"/>
  <c r="J37" i="28"/>
  <c r="J38" i="28"/>
  <c r="J43" i="28"/>
  <c r="J45" i="28"/>
  <c r="J46" i="28"/>
  <c r="J65" i="28"/>
  <c r="J68" i="28"/>
  <c r="V81" i="28"/>
  <c r="V87" i="28"/>
  <c r="J99" i="28"/>
  <c r="Z103" i="28"/>
  <c r="F68" i="31"/>
  <c r="F52" i="31"/>
  <c r="F47" i="31"/>
  <c r="F40" i="31"/>
  <c r="F28" i="31"/>
  <c r="F19" i="31"/>
  <c r="F76" i="31"/>
  <c r="F67" i="31"/>
  <c r="F62" i="31"/>
  <c r="F58" i="31"/>
  <c r="F55" i="31"/>
  <c r="F39" i="31"/>
  <c r="F35" i="31"/>
  <c r="F27" i="31"/>
  <c r="F54" i="31"/>
  <c r="F49" i="31"/>
  <c r="F46" i="31"/>
  <c r="F38" i="31"/>
  <c r="F34" i="31"/>
  <c r="L12" i="31"/>
  <c r="N12" i="31" s="1"/>
  <c r="F72" i="31"/>
  <c r="F64" i="31"/>
  <c r="F61" i="31"/>
  <c r="F57" i="31"/>
  <c r="F45" i="31"/>
  <c r="F37" i="31"/>
  <c r="F33" i="31"/>
  <c r="D23" i="31"/>
  <c r="F21" i="31"/>
  <c r="F80" i="31"/>
  <c r="F60" i="31"/>
  <c r="F51" i="31"/>
  <c r="F48" i="31"/>
  <c r="F44" i="31"/>
  <c r="F32" i="31"/>
  <c r="F20" i="31"/>
  <c r="F71" i="31"/>
  <c r="F66" i="31"/>
  <c r="F63" i="31"/>
  <c r="F59" i="31"/>
  <c r="F43" i="31"/>
  <c r="F31" i="31"/>
  <c r="F26" i="31"/>
  <c r="F25" i="31"/>
  <c r="F70" i="31"/>
  <c r="F53" i="31"/>
  <c r="F50" i="31"/>
  <c r="F42" i="31"/>
  <c r="F30" i="31"/>
  <c r="F73" i="31"/>
  <c r="F69" i="31"/>
  <c r="F65" i="31"/>
  <c r="F56" i="31"/>
  <c r="F41" i="31"/>
  <c r="F36" i="31"/>
  <c r="F29" i="31"/>
  <c r="J25" i="31"/>
  <c r="N113" i="28"/>
  <c r="X12" i="29"/>
  <c r="F27" i="29"/>
  <c r="V27" i="29"/>
  <c r="F31" i="29"/>
  <c r="V31" i="29"/>
  <c r="F34" i="29"/>
  <c r="V34" i="29"/>
  <c r="J18" i="30"/>
  <c r="Z18" i="30"/>
  <c r="V24" i="30"/>
  <c r="D27" i="30"/>
  <c r="V20" i="31"/>
  <c r="J28" i="31"/>
  <c r="V32" i="31"/>
  <c r="V36" i="31"/>
  <c r="J40" i="31"/>
  <c r="V44" i="31"/>
  <c r="V48" i="31"/>
  <c r="J52" i="31"/>
  <c r="V56" i="31"/>
  <c r="J58" i="31"/>
  <c r="Z58" i="31"/>
  <c r="V60" i="31"/>
  <c r="J62" i="31"/>
  <c r="Z62" i="31"/>
  <c r="N64" i="31"/>
  <c r="J68" i="31"/>
  <c r="N72" i="31"/>
  <c r="D75" i="31"/>
  <c r="L75" i="31" s="1"/>
  <c r="V80" i="31"/>
  <c r="N12" i="32"/>
  <c r="F18" i="32"/>
  <c r="V18" i="32"/>
  <c r="J22" i="32"/>
  <c r="R24" i="32"/>
  <c r="L12" i="33"/>
  <c r="F15" i="33"/>
  <c r="D18" i="33"/>
  <c r="R21" i="33"/>
  <c r="F25" i="33"/>
  <c r="F29" i="33"/>
  <c r="F33" i="33"/>
  <c r="F36" i="33"/>
  <c r="L12" i="34"/>
  <c r="N12" i="34" s="1"/>
  <c r="F22" i="34"/>
  <c r="F30" i="34"/>
  <c r="N44" i="34"/>
  <c r="X45" i="34"/>
  <c r="V47" i="34"/>
  <c r="V48" i="34"/>
  <c r="V49" i="34"/>
  <c r="N66" i="34"/>
  <c r="V71" i="34"/>
  <c r="V81" i="34"/>
  <c r="N87" i="34"/>
  <c r="N100" i="34"/>
  <c r="F104" i="34"/>
  <c r="J109" i="34"/>
  <c r="J112" i="34"/>
  <c r="F121" i="34"/>
  <c r="X15" i="35"/>
  <c r="X27" i="39"/>
  <c r="Z27" i="39" s="1"/>
  <c r="F16" i="29"/>
  <c r="F20" i="29"/>
  <c r="R22" i="29"/>
  <c r="J21" i="30"/>
  <c r="V27" i="30"/>
  <c r="V31" i="30"/>
  <c r="V34" i="30"/>
  <c r="J19" i="31"/>
  <c r="Z19" i="31"/>
  <c r="J29" i="31"/>
  <c r="V33" i="31"/>
  <c r="V37" i="31"/>
  <c r="J41" i="31"/>
  <c r="V45" i="31"/>
  <c r="J47" i="31"/>
  <c r="V53" i="31"/>
  <c r="V57" i="31"/>
  <c r="V61" i="31"/>
  <c r="J65" i="31"/>
  <c r="J69" i="31"/>
  <c r="J73" i="31"/>
  <c r="V75" i="31"/>
  <c r="J15" i="32"/>
  <c r="H18" i="32"/>
  <c r="F21" i="32"/>
  <c r="V21" i="32"/>
  <c r="J25" i="32"/>
  <c r="R27" i="32"/>
  <c r="J29" i="32"/>
  <c r="R31" i="32"/>
  <c r="J33" i="32"/>
  <c r="R34" i="32"/>
  <c r="J36" i="32"/>
  <c r="L13" i="33"/>
  <c r="F18" i="33"/>
  <c r="R24" i="33"/>
  <c r="X15" i="34"/>
  <c r="F23" i="34"/>
  <c r="F31" i="34"/>
  <c r="J44" i="34"/>
  <c r="F53" i="34"/>
  <c r="V55" i="34"/>
  <c r="V59" i="34"/>
  <c r="V63" i="34"/>
  <c r="J66" i="34"/>
  <c r="J67" i="34"/>
  <c r="F68" i="34"/>
  <c r="J75" i="34"/>
  <c r="F77" i="34"/>
  <c r="V77" i="34"/>
  <c r="V88" i="34"/>
  <c r="V95" i="34"/>
  <c r="V113" i="34"/>
  <c r="J117" i="34"/>
  <c r="V27" i="39"/>
  <c r="R15" i="29"/>
  <c r="P18" i="29"/>
  <c r="R25" i="29"/>
  <c r="R29" i="29"/>
  <c r="R33" i="29"/>
  <c r="R36" i="29"/>
  <c r="J24" i="30"/>
  <c r="V26" i="31"/>
  <c r="J30" i="31"/>
  <c r="V34" i="31"/>
  <c r="J36" i="31"/>
  <c r="V38" i="31"/>
  <c r="J42" i="31"/>
  <c r="V46" i="31"/>
  <c r="J50" i="31"/>
  <c r="V54" i="31"/>
  <c r="J56" i="31"/>
  <c r="V66" i="31"/>
  <c r="J70" i="31"/>
  <c r="J78" i="31"/>
  <c r="J18" i="32"/>
  <c r="R20" i="32"/>
  <c r="F24" i="32"/>
  <c r="V24" i="32"/>
  <c r="H18" i="33"/>
  <c r="F21" i="33"/>
  <c r="R27" i="33"/>
  <c r="R31" i="33"/>
  <c r="R34" i="33"/>
  <c r="F19" i="34"/>
  <c r="F24" i="34"/>
  <c r="F32" i="34"/>
  <c r="F52" i="34"/>
  <c r="J53" i="34"/>
  <c r="F54" i="34"/>
  <c r="F55" i="34"/>
  <c r="V56" i="34"/>
  <c r="V60" i="34"/>
  <c r="V64" i="34"/>
  <c r="L66" i="34"/>
  <c r="F69" i="34"/>
  <c r="X70" i="34"/>
  <c r="Z70" i="34" s="1"/>
  <c r="N75" i="34"/>
  <c r="F76" i="34"/>
  <c r="X82" i="34"/>
  <c r="Z82" i="34" s="1"/>
  <c r="V91" i="34"/>
  <c r="F94" i="34"/>
  <c r="Z96" i="34"/>
  <c r="F116" i="34"/>
  <c r="J118" i="34"/>
  <c r="J21" i="35"/>
  <c r="J18" i="35"/>
  <c r="J36" i="35"/>
  <c r="J33" i="35"/>
  <c r="J29" i="35"/>
  <c r="J25" i="35"/>
  <c r="H18" i="35"/>
  <c r="J15" i="35"/>
  <c r="J22" i="35"/>
  <c r="N12" i="35"/>
  <c r="J34" i="35"/>
  <c r="J31" i="35"/>
  <c r="J27" i="35"/>
  <c r="J24" i="35"/>
  <c r="R113" i="36"/>
  <c r="R104" i="36"/>
  <c r="R96" i="36"/>
  <c r="R92" i="36"/>
  <c r="R88" i="36"/>
  <c r="R84" i="36"/>
  <c r="R80" i="36"/>
  <c r="R68" i="36"/>
  <c r="R65" i="36"/>
  <c r="R60" i="36"/>
  <c r="R44" i="36"/>
  <c r="R40" i="36"/>
  <c r="R32" i="36"/>
  <c r="X12" i="36"/>
  <c r="Z12" i="36" s="1"/>
  <c r="R119" i="36"/>
  <c r="R107" i="36"/>
  <c r="R103" i="36"/>
  <c r="R95" i="36"/>
  <c r="R87" i="36"/>
  <c r="R79" i="36"/>
  <c r="R76" i="36"/>
  <c r="R71" i="36"/>
  <c r="R59" i="36"/>
  <c r="R56" i="36"/>
  <c r="R51" i="36"/>
  <c r="R43" i="36"/>
  <c r="R39" i="36"/>
  <c r="R31" i="36"/>
  <c r="R29" i="36"/>
  <c r="P27" i="36"/>
  <c r="R27" i="36" s="1"/>
  <c r="R124" i="36"/>
  <c r="R106" i="36"/>
  <c r="R102" i="36"/>
  <c r="R91" i="36"/>
  <c r="R86" i="36"/>
  <c r="R83" i="36"/>
  <c r="R67" i="36"/>
  <c r="R62" i="36"/>
  <c r="R50" i="36"/>
  <c r="R42" i="36"/>
  <c r="R38" i="36"/>
  <c r="R109" i="36"/>
  <c r="R101" i="36"/>
  <c r="R94" i="36"/>
  <c r="R78" i="36"/>
  <c r="R73" i="36"/>
  <c r="R70" i="36"/>
  <c r="R58" i="36"/>
  <c r="R53" i="36"/>
  <c r="R49" i="36"/>
  <c r="R37" i="36"/>
  <c r="R30" i="36"/>
  <c r="R25" i="36"/>
  <c r="R118" i="36"/>
  <c r="R112" i="36"/>
  <c r="R105" i="36"/>
  <c r="R100" i="36"/>
  <c r="R85" i="36"/>
  <c r="R64" i="36"/>
  <c r="R61" i="36"/>
  <c r="R48" i="36"/>
  <c r="R41" i="36"/>
  <c r="R36" i="36"/>
  <c r="R24" i="36"/>
  <c r="R111" i="36"/>
  <c r="R108" i="36"/>
  <c r="R99" i="36"/>
  <c r="R75" i="36"/>
  <c r="R72" i="36"/>
  <c r="R55" i="36"/>
  <c r="R52" i="36"/>
  <c r="R47" i="36"/>
  <c r="R35" i="36"/>
  <c r="R23" i="36"/>
  <c r="R120" i="36"/>
  <c r="R114" i="36"/>
  <c r="R98" i="36"/>
  <c r="R90" i="36"/>
  <c r="R82" i="36"/>
  <c r="R66" i="36"/>
  <c r="R63" i="36"/>
  <c r="R46" i="36"/>
  <c r="R34" i="36"/>
  <c r="R117" i="36"/>
  <c r="R110" i="36"/>
  <c r="R97" i="36"/>
  <c r="R93" i="36"/>
  <c r="R89" i="36"/>
  <c r="R81" i="36"/>
  <c r="R77" i="36"/>
  <c r="R74" i="36"/>
  <c r="R69" i="36"/>
  <c r="R57" i="36"/>
  <c r="R54" i="36"/>
  <c r="R45" i="36"/>
  <c r="R33" i="36"/>
  <c r="R22" i="36"/>
  <c r="Z29" i="36"/>
  <c r="Z41" i="36"/>
  <c r="Z58" i="36"/>
  <c r="N85" i="36"/>
  <c r="N108" i="36"/>
  <c r="N52" i="39"/>
  <c r="Z63" i="39"/>
  <c r="J16" i="29"/>
  <c r="R18" i="29"/>
  <c r="J20" i="29"/>
  <c r="F22" i="29"/>
  <c r="V22" i="29"/>
  <c r="P18" i="30"/>
  <c r="R25" i="30"/>
  <c r="J27" i="30"/>
  <c r="R29" i="30"/>
  <c r="J31" i="30"/>
  <c r="R33" i="30"/>
  <c r="J34" i="30"/>
  <c r="R36" i="30"/>
  <c r="V27" i="31"/>
  <c r="J31" i="31"/>
  <c r="V35" i="31"/>
  <c r="V39" i="31"/>
  <c r="J43" i="31"/>
  <c r="V51" i="31"/>
  <c r="J53" i="31"/>
  <c r="V55" i="31"/>
  <c r="J59" i="31"/>
  <c r="J63" i="31"/>
  <c r="V67" i="31"/>
  <c r="J71" i="31"/>
  <c r="J75" i="31"/>
  <c r="X12" i="32"/>
  <c r="J21" i="32"/>
  <c r="F27" i="32"/>
  <c r="V27" i="32"/>
  <c r="F31" i="32"/>
  <c r="V31" i="32"/>
  <c r="F34" i="32"/>
  <c r="V34" i="32"/>
  <c r="R16" i="33"/>
  <c r="J18" i="33"/>
  <c r="R20" i="33"/>
  <c r="F24" i="33"/>
  <c r="V24" i="33"/>
  <c r="V124" i="34"/>
  <c r="V114" i="34"/>
  <c r="V110" i="34"/>
  <c r="V106" i="34"/>
  <c r="V102" i="34"/>
  <c r="V98" i="34"/>
  <c r="V94" i="34"/>
  <c r="V86" i="34"/>
  <c r="V82" i="34"/>
  <c r="V74" i="34"/>
  <c r="V70" i="34"/>
  <c r="V58" i="34"/>
  <c r="V54" i="34"/>
  <c r="V46" i="34"/>
  <c r="V34" i="34"/>
  <c r="V117" i="34"/>
  <c r="V109" i="34"/>
  <c r="V105" i="34"/>
  <c r="V101" i="34"/>
  <c r="V97" i="34"/>
  <c r="V93" i="34"/>
  <c r="V126" i="34"/>
  <c r="V131" i="34"/>
  <c r="V129" i="34"/>
  <c r="V119" i="34"/>
  <c r="V107" i="34"/>
  <c r="V87" i="34"/>
  <c r="V122" i="34"/>
  <c r="V118" i="34"/>
  <c r="V90" i="34"/>
  <c r="V78" i="34"/>
  <c r="V66" i="34"/>
  <c r="V62" i="34"/>
  <c r="V50" i="34"/>
  <c r="V38" i="34"/>
  <c r="V112" i="34"/>
  <c r="V92" i="34"/>
  <c r="V84" i="34"/>
  <c r="V80" i="34"/>
  <c r="V127" i="34"/>
  <c r="V115" i="34"/>
  <c r="V111" i="34"/>
  <c r="V103" i="34"/>
  <c r="V20" i="34"/>
  <c r="J24" i="34"/>
  <c r="F25" i="34"/>
  <c r="V28" i="34"/>
  <c r="J32" i="34"/>
  <c r="F33" i="34"/>
  <c r="V42" i="34"/>
  <c r="F45" i="34"/>
  <c r="V45" i="34"/>
  <c r="F49" i="34"/>
  <c r="J51" i="34"/>
  <c r="J52" i="34"/>
  <c r="V57" i="34"/>
  <c r="V61" i="34"/>
  <c r="V65" i="34"/>
  <c r="J69" i="34"/>
  <c r="V72" i="34"/>
  <c r="V73" i="34"/>
  <c r="J77" i="34"/>
  <c r="V79" i="34"/>
  <c r="F84" i="34"/>
  <c r="V85" i="34"/>
  <c r="V96" i="34"/>
  <c r="Z100" i="34"/>
  <c r="L107" i="34"/>
  <c r="X118" i="34"/>
  <c r="Z118" i="34" s="1"/>
  <c r="V125" i="34"/>
  <c r="F127" i="34"/>
  <c r="N52" i="36"/>
  <c r="Z78" i="36"/>
  <c r="N105" i="36"/>
  <c r="Z88" i="39"/>
  <c r="R21" i="29"/>
  <c r="F25" i="29"/>
  <c r="F29" i="29"/>
  <c r="F33" i="29"/>
  <c r="F36" i="29"/>
  <c r="J16" i="30"/>
  <c r="J20" i="30"/>
  <c r="J20" i="31"/>
  <c r="J26" i="31"/>
  <c r="J32" i="31"/>
  <c r="V40" i="31"/>
  <c r="J44" i="31"/>
  <c r="J48" i="31"/>
  <c r="V52" i="31"/>
  <c r="J60" i="31"/>
  <c r="V64" i="31"/>
  <c r="J66" i="31"/>
  <c r="V68" i="31"/>
  <c r="V72" i="31"/>
  <c r="V76" i="31"/>
  <c r="J80" i="31"/>
  <c r="F16" i="32"/>
  <c r="F20" i="32"/>
  <c r="J24" i="32"/>
  <c r="F27" i="33"/>
  <c r="F31" i="33"/>
  <c r="F34" i="33"/>
  <c r="F26" i="34"/>
  <c r="F34" i="34"/>
  <c r="F35" i="34"/>
  <c r="F36" i="34"/>
  <c r="F40" i="34"/>
  <c r="D42" i="34"/>
  <c r="F48" i="34"/>
  <c r="J49" i="34"/>
  <c r="F50" i="34"/>
  <c r="J55" i="34"/>
  <c r="V67" i="34"/>
  <c r="N70" i="34"/>
  <c r="F78" i="34"/>
  <c r="F79" i="34"/>
  <c r="F81" i="34"/>
  <c r="J83" i="34"/>
  <c r="J84" i="34"/>
  <c r="F85" i="34"/>
  <c r="V89" i="34"/>
  <c r="J93" i="34"/>
  <c r="F98" i="34"/>
  <c r="V100" i="34"/>
  <c r="N107" i="34"/>
  <c r="V108" i="34"/>
  <c r="V120" i="34"/>
  <c r="N124" i="34"/>
  <c r="P31" i="38"/>
  <c r="R24" i="29"/>
  <c r="J37" i="31"/>
  <c r="J45" i="31"/>
  <c r="J51" i="31"/>
  <c r="J57" i="31"/>
  <c r="J61" i="31"/>
  <c r="V65" i="31"/>
  <c r="V69" i="31"/>
  <c r="V73" i="31"/>
  <c r="J27" i="32"/>
  <c r="J31" i="32"/>
  <c r="J34" i="32"/>
  <c r="F16" i="33"/>
  <c r="F20" i="33"/>
  <c r="F27" i="34"/>
  <c r="F37" i="34"/>
  <c r="F56" i="34"/>
  <c r="F60" i="34"/>
  <c r="F64" i="34"/>
  <c r="F72" i="34"/>
  <c r="V76" i="34"/>
  <c r="J81" i="34"/>
  <c r="F87" i="34"/>
  <c r="F89" i="34"/>
  <c r="F91" i="34"/>
  <c r="J92" i="34"/>
  <c r="J97" i="34"/>
  <c r="V104" i="34"/>
  <c r="V121" i="34"/>
  <c r="T120" i="39"/>
  <c r="R27" i="29"/>
  <c r="R31" i="29"/>
  <c r="R34" i="29"/>
  <c r="J54" i="31"/>
  <c r="J64" i="31"/>
  <c r="J72" i="31"/>
  <c r="J16" i="32"/>
  <c r="F131" i="34"/>
  <c r="F126" i="34"/>
  <c r="F124" i="34"/>
  <c r="F119" i="34"/>
  <c r="F114" i="34"/>
  <c r="F82" i="34"/>
  <c r="F70" i="34"/>
  <c r="F67" i="34"/>
  <c r="F63" i="34"/>
  <c r="F51" i="34"/>
  <c r="F39" i="34"/>
  <c r="F122" i="34"/>
  <c r="F93" i="34"/>
  <c r="F125" i="34"/>
  <c r="F112" i="34"/>
  <c r="F107" i="34"/>
  <c r="F92" i="34"/>
  <c r="F118" i="34"/>
  <c r="F115" i="34"/>
  <c r="F111" i="34"/>
  <c r="F103" i="34"/>
  <c r="F99" i="34"/>
  <c r="F95" i="34"/>
  <c r="F83" i="34"/>
  <c r="F71" i="34"/>
  <c r="F66" i="34"/>
  <c r="F59" i="34"/>
  <c r="F47" i="34"/>
  <c r="F117" i="34"/>
  <c r="F109" i="34"/>
  <c r="F105" i="34"/>
  <c r="F101" i="34"/>
  <c r="F97" i="34"/>
  <c r="F120" i="34"/>
  <c r="F108" i="34"/>
  <c r="F20" i="34"/>
  <c r="F28" i="34"/>
  <c r="F38" i="34"/>
  <c r="H133" i="34"/>
  <c r="Z44" i="34"/>
  <c r="F46" i="34"/>
  <c r="F57" i="34"/>
  <c r="F61" i="34"/>
  <c r="F65" i="34"/>
  <c r="X66" i="34"/>
  <c r="Z66" i="34" s="1"/>
  <c r="Z68" i="34"/>
  <c r="F73" i="34"/>
  <c r="V75" i="34"/>
  <c r="J79" i="34"/>
  <c r="F80" i="34"/>
  <c r="L82" i="34"/>
  <c r="J85" i="34"/>
  <c r="F86" i="34"/>
  <c r="F90" i="34"/>
  <c r="F96" i="34"/>
  <c r="F106" i="34"/>
  <c r="F113" i="34"/>
  <c r="N61" i="36"/>
  <c r="Z80" i="39"/>
  <c r="D119" i="28"/>
  <c r="L119" i="28" s="1"/>
  <c r="N119" i="28" s="1"/>
  <c r="R16" i="29"/>
  <c r="J15" i="30"/>
  <c r="H18" i="30"/>
  <c r="L18" i="30" s="1"/>
  <c r="J25" i="30"/>
  <c r="R27" i="30"/>
  <c r="J29" i="30"/>
  <c r="R31" i="30"/>
  <c r="J33" i="30"/>
  <c r="P12" i="31"/>
  <c r="V19" i="31"/>
  <c r="J23" i="31"/>
  <c r="J27" i="31"/>
  <c r="V31" i="31"/>
  <c r="J35" i="31"/>
  <c r="J39" i="31"/>
  <c r="V43" i="31"/>
  <c r="V47" i="31"/>
  <c r="J49" i="31"/>
  <c r="J55" i="31"/>
  <c r="V59" i="31"/>
  <c r="V63" i="31"/>
  <c r="J67" i="31"/>
  <c r="L12" i="32"/>
  <c r="F15" i="32"/>
  <c r="V15" i="32"/>
  <c r="D18" i="32"/>
  <c r="T18" i="32"/>
  <c r="F25" i="32"/>
  <c r="V25" i="32"/>
  <c r="F29" i="32"/>
  <c r="V29" i="32"/>
  <c r="F33" i="32"/>
  <c r="V33" i="32"/>
  <c r="J16" i="33"/>
  <c r="J122" i="34"/>
  <c r="J116" i="34"/>
  <c r="J104" i="34"/>
  <c r="J100" i="34"/>
  <c r="J96" i="34"/>
  <c r="J90" i="34"/>
  <c r="J78" i="34"/>
  <c r="J72" i="34"/>
  <c r="J62" i="34"/>
  <c r="J50" i="34"/>
  <c r="J38" i="34"/>
  <c r="J129" i="34"/>
  <c r="J113" i="34"/>
  <c r="J107" i="34"/>
  <c r="J125" i="34"/>
  <c r="J121" i="34"/>
  <c r="J115" i="34"/>
  <c r="J111" i="34"/>
  <c r="J103" i="34"/>
  <c r="J99" i="34"/>
  <c r="J95" i="34"/>
  <c r="J89" i="34"/>
  <c r="J127" i="34"/>
  <c r="J110" i="34"/>
  <c r="J106" i="34"/>
  <c r="J102" i="34"/>
  <c r="J98" i="34"/>
  <c r="J94" i="34"/>
  <c r="J86" i="34"/>
  <c r="J74" i="34"/>
  <c r="J68" i="34"/>
  <c r="J58" i="34"/>
  <c r="J54" i="34"/>
  <c r="J46" i="34"/>
  <c r="J42" i="34"/>
  <c r="J124" i="34"/>
  <c r="J120" i="34"/>
  <c r="J114" i="34"/>
  <c r="J108" i="34"/>
  <c r="J88" i="34"/>
  <c r="J82" i="34"/>
  <c r="J76" i="34"/>
  <c r="J131" i="34"/>
  <c r="J126" i="34"/>
  <c r="J119" i="34"/>
  <c r="J20" i="34"/>
  <c r="F21" i="34"/>
  <c r="V24" i="34"/>
  <c r="J28" i="34"/>
  <c r="F29" i="34"/>
  <c r="V32" i="34"/>
  <c r="F44" i="34"/>
  <c r="V44" i="34"/>
  <c r="J57" i="34"/>
  <c r="F58" i="34"/>
  <c r="J61" i="34"/>
  <c r="F62" i="34"/>
  <c r="J65" i="34"/>
  <c r="V68" i="34"/>
  <c r="V69" i="34"/>
  <c r="J73" i="34"/>
  <c r="F74" i="34"/>
  <c r="F75" i="34"/>
  <c r="J80" i="34"/>
  <c r="V83" i="34"/>
  <c r="J87" i="34"/>
  <c r="F88" i="34"/>
  <c r="J91" i="34"/>
  <c r="N96" i="34"/>
  <c r="F100" i="34"/>
  <c r="J105" i="34"/>
  <c r="F110" i="34"/>
  <c r="V116" i="34"/>
  <c r="L29" i="36"/>
  <c r="N29" i="36" s="1"/>
  <c r="Z30" i="36"/>
  <c r="T31" i="37"/>
  <c r="N27" i="39"/>
  <c r="Z28" i="39"/>
  <c r="N86" i="39"/>
  <c r="V20" i="35"/>
  <c r="R22" i="35"/>
  <c r="Z24" i="35"/>
  <c r="J24" i="36"/>
  <c r="T27" i="36"/>
  <c r="V27" i="36" s="1"/>
  <c r="J30" i="36"/>
  <c r="V32" i="36"/>
  <c r="J36" i="36"/>
  <c r="V40" i="36"/>
  <c r="V44" i="36"/>
  <c r="J48" i="36"/>
  <c r="V56" i="36"/>
  <c r="J58" i="36"/>
  <c r="V60" i="36"/>
  <c r="J64" i="36"/>
  <c r="V68" i="36"/>
  <c r="J70" i="36"/>
  <c r="V76" i="36"/>
  <c r="J78" i="36"/>
  <c r="V80" i="36"/>
  <c r="V84" i="36"/>
  <c r="V88" i="36"/>
  <c r="V92" i="36"/>
  <c r="J94" i="36"/>
  <c r="V96" i="36"/>
  <c r="J100" i="36"/>
  <c r="V104" i="36"/>
  <c r="J112" i="36"/>
  <c r="J116" i="36"/>
  <c r="J18" i="37"/>
  <c r="V24" i="37"/>
  <c r="J15" i="38"/>
  <c r="Z15" i="38"/>
  <c r="H18" i="38"/>
  <c r="X18" i="38"/>
  <c r="F21" i="38"/>
  <c r="V21" i="38"/>
  <c r="J25" i="38"/>
  <c r="R27" i="38"/>
  <c r="J29" i="38"/>
  <c r="R31" i="38"/>
  <c r="J33" i="38"/>
  <c r="R34" i="38"/>
  <c r="J36" i="38"/>
  <c r="P12" i="39"/>
  <c r="V21" i="39"/>
  <c r="J29" i="39"/>
  <c r="V33" i="39"/>
  <c r="J37" i="39"/>
  <c r="J41" i="39"/>
  <c r="V45" i="39"/>
  <c r="J49" i="39"/>
  <c r="V53" i="39"/>
  <c r="J57" i="39"/>
  <c r="V61" i="39"/>
  <c r="J63" i="39"/>
  <c r="V65" i="39"/>
  <c r="J69" i="39"/>
  <c r="V73" i="39"/>
  <c r="V77" i="39"/>
  <c r="V81" i="39"/>
  <c r="J85" i="39"/>
  <c r="V89" i="39"/>
  <c r="J93" i="39"/>
  <c r="V97" i="39"/>
  <c r="J99" i="39"/>
  <c r="V101" i="39"/>
  <c r="L102" i="39"/>
  <c r="J105" i="39"/>
  <c r="J112" i="39"/>
  <c r="V113" i="39"/>
  <c r="Z12" i="40"/>
  <c r="V18" i="40"/>
  <c r="T114" i="42"/>
  <c r="N108" i="42"/>
  <c r="H114" i="42"/>
  <c r="J114" i="42" s="1"/>
  <c r="L25" i="44"/>
  <c r="V27" i="45"/>
  <c r="F41" i="45"/>
  <c r="Z50" i="45"/>
  <c r="F68" i="45"/>
  <c r="V19" i="48"/>
  <c r="F24" i="48"/>
  <c r="R15" i="35"/>
  <c r="P18" i="35"/>
  <c r="R25" i="35"/>
  <c r="R29" i="35"/>
  <c r="R33" i="35"/>
  <c r="R36" i="35"/>
  <c r="D12" i="36"/>
  <c r="J25" i="36"/>
  <c r="J29" i="36"/>
  <c r="V29" i="36"/>
  <c r="V33" i="36"/>
  <c r="J37" i="36"/>
  <c r="V45" i="36"/>
  <c r="J49" i="36"/>
  <c r="J53" i="36"/>
  <c r="V57" i="36"/>
  <c r="V65" i="36"/>
  <c r="J67" i="36"/>
  <c r="V69" i="36"/>
  <c r="J73" i="36"/>
  <c r="V77" i="36"/>
  <c r="V81" i="36"/>
  <c r="J83" i="36"/>
  <c r="V89" i="36"/>
  <c r="J91" i="36"/>
  <c r="V93" i="36"/>
  <c r="V97" i="36"/>
  <c r="J101" i="36"/>
  <c r="J109" i="36"/>
  <c r="V113" i="36"/>
  <c r="V117" i="36"/>
  <c r="X12" i="37"/>
  <c r="J21" i="37"/>
  <c r="V27" i="37"/>
  <c r="V31" i="37"/>
  <c r="V34" i="37"/>
  <c r="R16" i="38"/>
  <c r="J18" i="38"/>
  <c r="R20" i="38"/>
  <c r="F24" i="38"/>
  <c r="V24" i="38"/>
  <c r="J20" i="39"/>
  <c r="V22" i="39"/>
  <c r="J30" i="39"/>
  <c r="V34" i="39"/>
  <c r="J38" i="39"/>
  <c r="J42" i="39"/>
  <c r="V46" i="39"/>
  <c r="V50" i="39"/>
  <c r="J52" i="39"/>
  <c r="J58" i="39"/>
  <c r="V62" i="39"/>
  <c r="V70" i="39"/>
  <c r="J72" i="39"/>
  <c r="V74" i="39"/>
  <c r="V78" i="39"/>
  <c r="J80" i="39"/>
  <c r="V82" i="39"/>
  <c r="V86" i="39"/>
  <c r="J88" i="39"/>
  <c r="V90" i="39"/>
  <c r="J94" i="39"/>
  <c r="V98" i="39"/>
  <c r="J106" i="39"/>
  <c r="J110" i="39"/>
  <c r="X113" i="39"/>
  <c r="Z113" i="39" s="1"/>
  <c r="X21" i="40"/>
  <c r="L13" i="41"/>
  <c r="P12" i="42"/>
  <c r="Z62" i="42"/>
  <c r="X84" i="42"/>
  <c r="Z84" i="42" s="1"/>
  <c r="L86" i="42"/>
  <c r="Z108" i="42"/>
  <c r="R27" i="43"/>
  <c r="H102" i="45"/>
  <c r="X27" i="45"/>
  <c r="Z27" i="45" s="1"/>
  <c r="X29" i="46"/>
  <c r="F60" i="48"/>
  <c r="F63" i="48"/>
  <c r="F67" i="48"/>
  <c r="H27" i="36"/>
  <c r="J38" i="36"/>
  <c r="J42" i="36"/>
  <c r="J50" i="36"/>
  <c r="J56" i="36"/>
  <c r="J62" i="36"/>
  <c r="V74" i="36"/>
  <c r="J76" i="36"/>
  <c r="V82" i="36"/>
  <c r="J86" i="36"/>
  <c r="V90" i="36"/>
  <c r="V98" i="36"/>
  <c r="J102" i="36"/>
  <c r="J106" i="36"/>
  <c r="V110" i="36"/>
  <c r="V114" i="36"/>
  <c r="J119" i="36"/>
  <c r="V120" i="36"/>
  <c r="J124" i="36"/>
  <c r="J31" i="39"/>
  <c r="J43" i="39"/>
  <c r="V47" i="39"/>
  <c r="V51" i="39"/>
  <c r="J55" i="39"/>
  <c r="V59" i="39"/>
  <c r="J61" i="39"/>
  <c r="J67" i="39"/>
  <c r="V71" i="39"/>
  <c r="V75" i="39"/>
  <c r="J77" i="39"/>
  <c r="V79" i="39"/>
  <c r="V83" i="39"/>
  <c r="V87" i="39"/>
  <c r="V91" i="39"/>
  <c r="J95" i="39"/>
  <c r="J103" i="39"/>
  <c r="V107" i="39"/>
  <c r="V111" i="39"/>
  <c r="F36" i="40"/>
  <c r="F33" i="40"/>
  <c r="F29" i="40"/>
  <c r="F25" i="40"/>
  <c r="D18" i="40"/>
  <c r="F15" i="40"/>
  <c r="L12" i="40"/>
  <c r="F22" i="40"/>
  <c r="F20" i="40"/>
  <c r="F34" i="40"/>
  <c r="F31" i="40"/>
  <c r="F27" i="40"/>
  <c r="F21" i="40"/>
  <c r="R27" i="41"/>
  <c r="Z78" i="42"/>
  <c r="N86" i="42"/>
  <c r="F104" i="45"/>
  <c r="F98" i="45"/>
  <c r="F86" i="45"/>
  <c r="F81" i="45"/>
  <c r="F78" i="45"/>
  <c r="F46" i="45"/>
  <c r="F34" i="45"/>
  <c r="F22" i="45"/>
  <c r="F97" i="45"/>
  <c r="F85" i="45"/>
  <c r="F77" i="45"/>
  <c r="F73" i="45"/>
  <c r="F69" i="45"/>
  <c r="F64" i="45"/>
  <c r="F61" i="45"/>
  <c r="F56" i="45"/>
  <c r="F53" i="45"/>
  <c r="F45" i="45"/>
  <c r="F33" i="45"/>
  <c r="F28" i="45"/>
  <c r="F27" i="45"/>
  <c r="F21" i="45"/>
  <c r="F91" i="45"/>
  <c r="F84" i="45"/>
  <c r="F80" i="45"/>
  <c r="F76" i="45"/>
  <c r="F72" i="45"/>
  <c r="F44" i="45"/>
  <c r="F39" i="45"/>
  <c r="F32" i="45"/>
  <c r="F94" i="45"/>
  <c r="F83" i="45"/>
  <c r="F75" i="45"/>
  <c r="F71" i="45"/>
  <c r="F66" i="45"/>
  <c r="F63" i="45"/>
  <c r="F58" i="45"/>
  <c r="F55" i="45"/>
  <c r="F50" i="45"/>
  <c r="F43" i="45"/>
  <c r="F31" i="45"/>
  <c r="F90" i="45"/>
  <c r="F82" i="45"/>
  <c r="F42" i="45"/>
  <c r="F38" i="45"/>
  <c r="F30" i="45"/>
  <c r="F92" i="45"/>
  <c r="F88" i="45"/>
  <c r="F79" i="45"/>
  <c r="F48" i="45"/>
  <c r="F40" i="45"/>
  <c r="F36" i="45"/>
  <c r="L12" i="45"/>
  <c r="N12" i="45" s="1"/>
  <c r="F100" i="45"/>
  <c r="F95" i="45"/>
  <c r="F87" i="45"/>
  <c r="F74" i="45"/>
  <c r="F70" i="45"/>
  <c r="F67" i="45"/>
  <c r="F62" i="45"/>
  <c r="F59" i="45"/>
  <c r="F54" i="45"/>
  <c r="F51" i="45"/>
  <c r="F47" i="45"/>
  <c r="F35" i="45"/>
  <c r="D25" i="45"/>
  <c r="F23" i="45"/>
  <c r="X14" i="45"/>
  <c r="P12" i="45"/>
  <c r="F20" i="45"/>
  <c r="T106" i="45"/>
  <c r="F29" i="45"/>
  <c r="F37" i="45"/>
  <c r="F96" i="45"/>
  <c r="V17" i="48"/>
  <c r="T75" i="48"/>
  <c r="V75" i="48" s="1"/>
  <c r="Z16" i="57"/>
  <c r="T68" i="57"/>
  <c r="X125" i="34"/>
  <c r="Z125" i="34" s="1"/>
  <c r="L12" i="35"/>
  <c r="F15" i="35"/>
  <c r="V15" i="35"/>
  <c r="D18" i="35"/>
  <c r="T18" i="35"/>
  <c r="R21" i="35"/>
  <c r="F25" i="35"/>
  <c r="V25" i="35"/>
  <c r="F29" i="35"/>
  <c r="V29" i="35"/>
  <c r="F33" i="35"/>
  <c r="V33" i="35"/>
  <c r="F36" i="35"/>
  <c r="V36" i="35"/>
  <c r="X16" i="36"/>
  <c r="V23" i="36"/>
  <c r="J27" i="36"/>
  <c r="J31" i="36"/>
  <c r="V35" i="36"/>
  <c r="J39" i="36"/>
  <c r="J43" i="36"/>
  <c r="V47" i="36"/>
  <c r="J51" i="36"/>
  <c r="V55" i="36"/>
  <c r="J59" i="36"/>
  <c r="V63" i="36"/>
  <c r="J65" i="36"/>
  <c r="J71" i="36"/>
  <c r="V75" i="36"/>
  <c r="J79" i="36"/>
  <c r="J87" i="36"/>
  <c r="J95" i="36"/>
  <c r="V99" i="36"/>
  <c r="J103" i="36"/>
  <c r="J107" i="36"/>
  <c r="V111" i="36"/>
  <c r="J113" i="36"/>
  <c r="P116" i="36"/>
  <c r="X116" i="36" s="1"/>
  <c r="Z116" i="36" s="1"/>
  <c r="P18" i="37"/>
  <c r="R25" i="37"/>
  <c r="J27" i="37"/>
  <c r="R29" i="37"/>
  <c r="J31" i="37"/>
  <c r="R33" i="37"/>
  <c r="J34" i="37"/>
  <c r="R36" i="37"/>
  <c r="Z12" i="38"/>
  <c r="F16" i="38"/>
  <c r="V16" i="38"/>
  <c r="F20" i="38"/>
  <c r="V20" i="38"/>
  <c r="R22" i="38"/>
  <c r="J24" i="38"/>
  <c r="V28" i="39"/>
  <c r="J32" i="39"/>
  <c r="V36" i="39"/>
  <c r="V40" i="39"/>
  <c r="J44" i="39"/>
  <c r="V48" i="39"/>
  <c r="J50" i="39"/>
  <c r="V56" i="39"/>
  <c r="V60" i="39"/>
  <c r="J64" i="39"/>
  <c r="V68" i="39"/>
  <c r="J70" i="39"/>
  <c r="V76" i="39"/>
  <c r="V84" i="39"/>
  <c r="J86" i="39"/>
  <c r="V92" i="39"/>
  <c r="J96" i="39"/>
  <c r="J100" i="39"/>
  <c r="V104" i="39"/>
  <c r="V108" i="39"/>
  <c r="J113" i="39"/>
  <c r="V114" i="39"/>
  <c r="J118" i="39"/>
  <c r="V120" i="39"/>
  <c r="J24" i="40"/>
  <c r="J21" i="40"/>
  <c r="J36" i="40"/>
  <c r="J33" i="40"/>
  <c r="J29" i="40"/>
  <c r="J25" i="40"/>
  <c r="H18" i="40"/>
  <c r="J15" i="40"/>
  <c r="F16" i="40"/>
  <c r="F24" i="40"/>
  <c r="L29" i="40"/>
  <c r="N26" i="42"/>
  <c r="X78" i="42"/>
  <c r="F60" i="45"/>
  <c r="L79" i="45"/>
  <c r="F93" i="45"/>
  <c r="P27" i="47"/>
  <c r="N42" i="48"/>
  <c r="X29" i="49"/>
  <c r="L16" i="50"/>
  <c r="V18" i="35"/>
  <c r="R24" i="35"/>
  <c r="J22" i="36"/>
  <c r="V24" i="36"/>
  <c r="J32" i="36"/>
  <c r="V36" i="36"/>
  <c r="J40" i="36"/>
  <c r="J44" i="36"/>
  <c r="V48" i="36"/>
  <c r="V52" i="36"/>
  <c r="J54" i="36"/>
  <c r="J60" i="36"/>
  <c r="X63" i="36"/>
  <c r="Z63" i="36" s="1"/>
  <c r="V64" i="36"/>
  <c r="L65" i="36"/>
  <c r="N65" i="36" s="1"/>
  <c r="J68" i="36"/>
  <c r="V72" i="36"/>
  <c r="J74" i="36"/>
  <c r="J80" i="36"/>
  <c r="J84" i="36"/>
  <c r="J88" i="36"/>
  <c r="J92" i="36"/>
  <c r="J96" i="36"/>
  <c r="V100" i="36"/>
  <c r="J104" i="36"/>
  <c r="V108" i="36"/>
  <c r="J110" i="36"/>
  <c r="V112" i="36"/>
  <c r="L113" i="36"/>
  <c r="N113" i="36" s="1"/>
  <c r="J117" i="36"/>
  <c r="V118" i="36"/>
  <c r="J16" i="37"/>
  <c r="J20" i="37"/>
  <c r="L34" i="37"/>
  <c r="X16" i="38"/>
  <c r="X20" i="38"/>
  <c r="L24" i="38"/>
  <c r="J27" i="38"/>
  <c r="J31" i="38"/>
  <c r="J34" i="38"/>
  <c r="D12" i="39"/>
  <c r="J21" i="39"/>
  <c r="X28" i="39"/>
  <c r="J33" i="39"/>
  <c r="J39" i="39"/>
  <c r="J45" i="39"/>
  <c r="V49" i="39"/>
  <c r="L50" i="39"/>
  <c r="J53" i="39"/>
  <c r="X56" i="39"/>
  <c r="Z56" i="39" s="1"/>
  <c r="V57" i="39"/>
  <c r="J59" i="39"/>
  <c r="J65" i="39"/>
  <c r="X68" i="39"/>
  <c r="Z68" i="39" s="1"/>
  <c r="V69" i="39"/>
  <c r="L70" i="39"/>
  <c r="N70" i="39" s="1"/>
  <c r="J73" i="39"/>
  <c r="J81" i="39"/>
  <c r="V85" i="39"/>
  <c r="J89" i="39"/>
  <c r="V93" i="39"/>
  <c r="J97" i="39"/>
  <c r="J101" i="39"/>
  <c r="V105" i="39"/>
  <c r="J107" i="39"/>
  <c r="F18" i="40"/>
  <c r="L21" i="40"/>
  <c r="R21" i="41"/>
  <c r="R22" i="41"/>
  <c r="X24" i="41"/>
  <c r="Z71" i="42"/>
  <c r="Z86" i="42"/>
  <c r="X21" i="44"/>
  <c r="L33" i="44"/>
  <c r="F57" i="45"/>
  <c r="N60" i="45"/>
  <c r="X15" i="46"/>
  <c r="X25" i="46"/>
  <c r="F77" i="48"/>
  <c r="F65" i="48"/>
  <c r="F49" i="48"/>
  <c r="F44" i="48"/>
  <c r="F41" i="48"/>
  <c r="F33" i="48"/>
  <c r="F29" i="48"/>
  <c r="F21" i="48"/>
  <c r="F68" i="48"/>
  <c r="F64" i="48"/>
  <c r="F55" i="48"/>
  <c r="F52" i="48"/>
  <c r="F40" i="48"/>
  <c r="F32" i="48"/>
  <c r="F28" i="48"/>
  <c r="F46" i="48"/>
  <c r="F43" i="48"/>
  <c r="F39" i="48"/>
  <c r="F27" i="48"/>
  <c r="D17" i="48"/>
  <c r="F70" i="48"/>
  <c r="F61" i="48"/>
  <c r="F57" i="48"/>
  <c r="F54" i="48"/>
  <c r="F38" i="48"/>
  <c r="F26" i="48"/>
  <c r="L12" i="48"/>
  <c r="N12" i="48" s="1"/>
  <c r="F48" i="48"/>
  <c r="F45" i="48"/>
  <c r="F37" i="48"/>
  <c r="F25" i="48"/>
  <c r="F20" i="48"/>
  <c r="F19" i="48"/>
  <c r="F59" i="48"/>
  <c r="F47" i="48"/>
  <c r="F42" i="48"/>
  <c r="F35" i="48"/>
  <c r="F23" i="48"/>
  <c r="F69" i="48"/>
  <c r="F66" i="48"/>
  <c r="F62" i="48"/>
  <c r="F58" i="48"/>
  <c r="F53" i="48"/>
  <c r="F50" i="48"/>
  <c r="F34" i="48"/>
  <c r="F30" i="48"/>
  <c r="F22" i="48"/>
  <c r="F51" i="48"/>
  <c r="R27" i="35"/>
  <c r="R31" i="35"/>
  <c r="R34" i="35"/>
  <c r="J33" i="36"/>
  <c r="V37" i="36"/>
  <c r="V41" i="36"/>
  <c r="J45" i="36"/>
  <c r="V49" i="36"/>
  <c r="V53" i="36"/>
  <c r="J57" i="36"/>
  <c r="V61" i="36"/>
  <c r="J63" i="36"/>
  <c r="J69" i="36"/>
  <c r="V73" i="36"/>
  <c r="J77" i="36"/>
  <c r="J81" i="36"/>
  <c r="V85" i="36"/>
  <c r="J89" i="36"/>
  <c r="J93" i="36"/>
  <c r="J97" i="36"/>
  <c r="V101" i="36"/>
  <c r="V105" i="36"/>
  <c r="V109" i="36"/>
  <c r="D116" i="36"/>
  <c r="L116" i="36" s="1"/>
  <c r="N116" i="36" s="1"/>
  <c r="J120" i="36"/>
  <c r="J16" i="38"/>
  <c r="J20" i="38"/>
  <c r="J22" i="39"/>
  <c r="J28" i="39"/>
  <c r="J34" i="39"/>
  <c r="V42" i="39"/>
  <c r="J46" i="39"/>
  <c r="V54" i="39"/>
  <c r="J56" i="39"/>
  <c r="V58" i="39"/>
  <c r="J62" i="39"/>
  <c r="V66" i="39"/>
  <c r="J68" i="39"/>
  <c r="J74" i="39"/>
  <c r="J78" i="39"/>
  <c r="J82" i="39"/>
  <c r="J90" i="39"/>
  <c r="V94" i="39"/>
  <c r="J98" i="39"/>
  <c r="V102" i="39"/>
  <c r="J104" i="39"/>
  <c r="V106" i="39"/>
  <c r="J111" i="39"/>
  <c r="V112" i="39"/>
  <c r="R18" i="41"/>
  <c r="R36" i="41"/>
  <c r="R33" i="41"/>
  <c r="R29" i="41"/>
  <c r="R25" i="41"/>
  <c r="P18" i="41"/>
  <c r="R15" i="41"/>
  <c r="X12" i="41"/>
  <c r="R20" i="41"/>
  <c r="R16" i="41"/>
  <c r="R24" i="41"/>
  <c r="N27" i="45"/>
  <c r="F89" i="45"/>
  <c r="J21" i="46"/>
  <c r="J18" i="46"/>
  <c r="J36" i="46"/>
  <c r="J33" i="46"/>
  <c r="J29" i="46"/>
  <c r="J25" i="46"/>
  <c r="H18" i="46"/>
  <c r="J15" i="46"/>
  <c r="J22" i="46"/>
  <c r="N12" i="46"/>
  <c r="J34" i="46"/>
  <c r="J31" i="46"/>
  <c r="J27" i="46"/>
  <c r="J24" i="46"/>
  <c r="J20" i="46"/>
  <c r="L16" i="47"/>
  <c r="L20" i="47"/>
  <c r="F15" i="48"/>
  <c r="Z20" i="48"/>
  <c r="V20" i="48"/>
  <c r="Z42" i="48"/>
  <c r="F56" i="48"/>
  <c r="R16" i="35"/>
  <c r="R20" i="35"/>
  <c r="V24" i="35"/>
  <c r="V30" i="36"/>
  <c r="J34" i="36"/>
  <c r="V38" i="36"/>
  <c r="V42" i="36"/>
  <c r="J46" i="36"/>
  <c r="V50" i="36"/>
  <c r="J52" i="36"/>
  <c r="V58" i="36"/>
  <c r="V62" i="36"/>
  <c r="J66" i="36"/>
  <c r="V70" i="36"/>
  <c r="J72" i="36"/>
  <c r="V78" i="36"/>
  <c r="J82" i="36"/>
  <c r="V86" i="36"/>
  <c r="J90" i="36"/>
  <c r="V94" i="36"/>
  <c r="J98" i="36"/>
  <c r="V102" i="36"/>
  <c r="V106" i="36"/>
  <c r="J108" i="36"/>
  <c r="J114" i="36"/>
  <c r="V116" i="36"/>
  <c r="V124" i="36"/>
  <c r="N12" i="37"/>
  <c r="L13" i="37"/>
  <c r="J22" i="37"/>
  <c r="L12" i="38"/>
  <c r="F15" i="38"/>
  <c r="D18" i="38"/>
  <c r="F25" i="38"/>
  <c r="F29" i="38"/>
  <c r="F33" i="38"/>
  <c r="F36" i="38"/>
  <c r="J23" i="39"/>
  <c r="V25" i="39"/>
  <c r="J27" i="39"/>
  <c r="J35" i="39"/>
  <c r="J47" i="39"/>
  <c r="J51" i="39"/>
  <c r="V55" i="39"/>
  <c r="V63" i="39"/>
  <c r="V67" i="39"/>
  <c r="J71" i="39"/>
  <c r="J75" i="39"/>
  <c r="J79" i="39"/>
  <c r="J83" i="39"/>
  <c r="J87" i="39"/>
  <c r="J91" i="39"/>
  <c r="V95" i="39"/>
  <c r="V99" i="39"/>
  <c r="V103" i="39"/>
  <c r="J114" i="39"/>
  <c r="V36" i="40"/>
  <c r="V33" i="40"/>
  <c r="V29" i="40"/>
  <c r="V25" i="40"/>
  <c r="T18" i="40"/>
  <c r="V15" i="40"/>
  <c r="V22" i="40"/>
  <c r="V20" i="40"/>
  <c r="V16" i="40"/>
  <c r="V34" i="40"/>
  <c r="V31" i="40"/>
  <c r="V27" i="40"/>
  <c r="V21" i="40"/>
  <c r="R31" i="41"/>
  <c r="Z26" i="42"/>
  <c r="R18" i="43"/>
  <c r="R36" i="43"/>
  <c r="R33" i="43"/>
  <c r="R29" i="43"/>
  <c r="R25" i="43"/>
  <c r="P18" i="43"/>
  <c r="R15" i="43"/>
  <c r="R22" i="43"/>
  <c r="X12" i="43"/>
  <c r="R20" i="43"/>
  <c r="R16" i="43"/>
  <c r="R24" i="43"/>
  <c r="R21" i="43"/>
  <c r="Z27" i="43"/>
  <c r="T31" i="43"/>
  <c r="F49" i="45"/>
  <c r="F52" i="45"/>
  <c r="F24" i="47"/>
  <c r="F21" i="47"/>
  <c r="F18" i="47"/>
  <c r="F36" i="47"/>
  <c r="F33" i="47"/>
  <c r="F29" i="47"/>
  <c r="F25" i="47"/>
  <c r="D18" i="47"/>
  <c r="F15" i="47"/>
  <c r="L12" i="47"/>
  <c r="F22" i="47"/>
  <c r="F20" i="47"/>
  <c r="F16" i="47"/>
  <c r="F34" i="47"/>
  <c r="F31" i="47"/>
  <c r="F27" i="47"/>
  <c r="J19" i="48"/>
  <c r="N19" i="48"/>
  <c r="F73" i="48"/>
  <c r="F27" i="35"/>
  <c r="V27" i="35"/>
  <c r="F31" i="35"/>
  <c r="V31" i="35"/>
  <c r="J23" i="36"/>
  <c r="V31" i="36"/>
  <c r="J35" i="36"/>
  <c r="V39" i="36"/>
  <c r="J41" i="36"/>
  <c r="V43" i="36"/>
  <c r="J47" i="36"/>
  <c r="V51" i="36"/>
  <c r="J55" i="36"/>
  <c r="V59" i="36"/>
  <c r="J61" i="36"/>
  <c r="V67" i="36"/>
  <c r="V71" i="36"/>
  <c r="J75" i="36"/>
  <c r="V79" i="36"/>
  <c r="V83" i="36"/>
  <c r="J85" i="36"/>
  <c r="V87" i="36"/>
  <c r="V91" i="36"/>
  <c r="V95" i="36"/>
  <c r="J99" i="36"/>
  <c r="V103" i="36"/>
  <c r="J105" i="36"/>
  <c r="V107" i="36"/>
  <c r="J111" i="36"/>
  <c r="J15" i="37"/>
  <c r="H18" i="37"/>
  <c r="J25" i="37"/>
  <c r="R27" i="37"/>
  <c r="J29" i="37"/>
  <c r="R31" i="37"/>
  <c r="J33" i="37"/>
  <c r="N12" i="38"/>
  <c r="V20" i="39"/>
  <c r="H25" i="39"/>
  <c r="J25" i="39" s="1"/>
  <c r="V32" i="39"/>
  <c r="J36" i="39"/>
  <c r="J40" i="39"/>
  <c r="V44" i="39"/>
  <c r="J48" i="39"/>
  <c r="V52" i="39"/>
  <c r="J54" i="39"/>
  <c r="J60" i="39"/>
  <c r="V64" i="39"/>
  <c r="J66" i="39"/>
  <c r="V72" i="39"/>
  <c r="J76" i="39"/>
  <c r="V80" i="39"/>
  <c r="J84" i="39"/>
  <c r="V88" i="39"/>
  <c r="J92" i="39"/>
  <c r="V96" i="39"/>
  <c r="V100" i="39"/>
  <c r="J102" i="39"/>
  <c r="V110" i="39"/>
  <c r="V116" i="39"/>
  <c r="X12" i="40"/>
  <c r="X22" i="40"/>
  <c r="L25" i="40"/>
  <c r="L33" i="40"/>
  <c r="X34" i="40"/>
  <c r="Z51" i="42"/>
  <c r="Z60" i="42"/>
  <c r="L78" i="42"/>
  <c r="N78" i="42" s="1"/>
  <c r="L108" i="42"/>
  <c r="P108" i="42"/>
  <c r="X108" i="42" s="1"/>
  <c r="X109" i="42"/>
  <c r="Z109" i="42" s="1"/>
  <c r="R34" i="43"/>
  <c r="L15" i="44"/>
  <c r="N52" i="45"/>
  <c r="N62" i="45"/>
  <c r="N81" i="45"/>
  <c r="X33" i="46"/>
  <c r="X19" i="48"/>
  <c r="Z19" i="48" s="1"/>
  <c r="F36" i="48"/>
  <c r="X48" i="48"/>
  <c r="Z48" i="48" s="1"/>
  <c r="J21" i="49"/>
  <c r="J18" i="49"/>
  <c r="J36" i="49"/>
  <c r="J33" i="49"/>
  <c r="J29" i="49"/>
  <c r="J25" i="49"/>
  <c r="H18" i="49"/>
  <c r="J15" i="49"/>
  <c r="J22" i="49"/>
  <c r="N12" i="49"/>
  <c r="J34" i="49"/>
  <c r="J31" i="49"/>
  <c r="J27" i="49"/>
  <c r="J24" i="49"/>
  <c r="F34" i="50"/>
  <c r="F24" i="50"/>
  <c r="F18" i="50"/>
  <c r="F36" i="50"/>
  <c r="F20" i="50"/>
  <c r="F25" i="50"/>
  <c r="F21" i="50"/>
  <c r="F33" i="50"/>
  <c r="F27" i="50"/>
  <c r="D18" i="50"/>
  <c r="F15" i="50"/>
  <c r="L12" i="50"/>
  <c r="F16" i="50"/>
  <c r="F31" i="50"/>
  <c r="F22" i="50"/>
  <c r="J16" i="44"/>
  <c r="J20" i="44"/>
  <c r="J22" i="45"/>
  <c r="J28" i="45"/>
  <c r="J34" i="45"/>
  <c r="J46" i="45"/>
  <c r="J56" i="45"/>
  <c r="J64" i="45"/>
  <c r="J78" i="45"/>
  <c r="J86" i="45"/>
  <c r="J98" i="45"/>
  <c r="J104" i="45"/>
  <c r="L13" i="51"/>
  <c r="N13" i="51" s="1"/>
  <c r="D12" i="51"/>
  <c r="T79" i="56"/>
  <c r="R27" i="40"/>
  <c r="R31" i="40"/>
  <c r="R34" i="40"/>
  <c r="N12" i="41"/>
  <c r="F18" i="41"/>
  <c r="V18" i="41"/>
  <c r="J22" i="41"/>
  <c r="J22" i="42"/>
  <c r="V24" i="42"/>
  <c r="J26" i="42"/>
  <c r="V26" i="42"/>
  <c r="V30" i="42"/>
  <c r="J34" i="42"/>
  <c r="V42" i="42"/>
  <c r="J46" i="42"/>
  <c r="J50" i="42"/>
  <c r="V54" i="42"/>
  <c r="V62" i="42"/>
  <c r="V66" i="42"/>
  <c r="J70" i="42"/>
  <c r="J74" i="42"/>
  <c r="V78" i="42"/>
  <c r="J82" i="42"/>
  <c r="V86" i="42"/>
  <c r="J90" i="42"/>
  <c r="V94" i="42"/>
  <c r="V98" i="42"/>
  <c r="J100" i="42"/>
  <c r="J106" i="42"/>
  <c r="V108" i="42"/>
  <c r="V114" i="42"/>
  <c r="V116" i="42"/>
  <c r="J22" i="43"/>
  <c r="L12" i="44"/>
  <c r="D18" i="44"/>
  <c r="T18" i="44"/>
  <c r="R21" i="44"/>
  <c r="F33" i="44"/>
  <c r="V33" i="44"/>
  <c r="F36" i="44"/>
  <c r="V36" i="44"/>
  <c r="L13" i="45"/>
  <c r="J23" i="45"/>
  <c r="V25" i="45"/>
  <c r="J27" i="45"/>
  <c r="J35" i="45"/>
  <c r="V43" i="45"/>
  <c r="J47" i="45"/>
  <c r="J51" i="45"/>
  <c r="V55" i="45"/>
  <c r="J59" i="45"/>
  <c r="V63" i="45"/>
  <c r="J67" i="45"/>
  <c r="V71" i="45"/>
  <c r="V75" i="45"/>
  <c r="V79" i="45"/>
  <c r="J81" i="45"/>
  <c r="V83" i="45"/>
  <c r="J87" i="45"/>
  <c r="J95" i="45"/>
  <c r="P18" i="46"/>
  <c r="R25" i="46"/>
  <c r="R29" i="46"/>
  <c r="R33" i="46"/>
  <c r="R36" i="46"/>
  <c r="R20" i="48"/>
  <c r="R27" i="48"/>
  <c r="J34" i="48"/>
  <c r="R39" i="48"/>
  <c r="V42" i="48"/>
  <c r="R43" i="48"/>
  <c r="J44" i="48"/>
  <c r="R48" i="48"/>
  <c r="J50" i="48"/>
  <c r="V54" i="48"/>
  <c r="J58" i="48"/>
  <c r="J62" i="48"/>
  <c r="J66" i="48"/>
  <c r="V70" i="48"/>
  <c r="P18" i="49"/>
  <c r="R25" i="49"/>
  <c r="R29" i="49"/>
  <c r="R33" i="49"/>
  <c r="R36" i="49"/>
  <c r="P18" i="50"/>
  <c r="X20" i="50"/>
  <c r="Z56" i="51"/>
  <c r="J18" i="41"/>
  <c r="F24" i="41"/>
  <c r="V24" i="41"/>
  <c r="V20" i="42"/>
  <c r="J24" i="42"/>
  <c r="J28" i="42"/>
  <c r="V32" i="42"/>
  <c r="J36" i="42"/>
  <c r="J40" i="42"/>
  <c r="V44" i="42"/>
  <c r="J48" i="42"/>
  <c r="V52" i="42"/>
  <c r="J56" i="42"/>
  <c r="V60" i="42"/>
  <c r="J62" i="42"/>
  <c r="V64" i="42"/>
  <c r="J68" i="42"/>
  <c r="V72" i="42"/>
  <c r="V76" i="42"/>
  <c r="J78" i="42"/>
  <c r="V80" i="42"/>
  <c r="V84" i="42"/>
  <c r="J86" i="42"/>
  <c r="V88" i="42"/>
  <c r="J92" i="42"/>
  <c r="V96" i="42"/>
  <c r="J104" i="42"/>
  <c r="J108" i="42"/>
  <c r="J18" i="43"/>
  <c r="X21" i="43"/>
  <c r="F24" i="43"/>
  <c r="V24" i="43"/>
  <c r="L25" i="43"/>
  <c r="D27" i="43"/>
  <c r="L29" i="43"/>
  <c r="L33" i="43"/>
  <c r="J15" i="44"/>
  <c r="H18" i="44"/>
  <c r="L22" i="44"/>
  <c r="J25" i="44"/>
  <c r="R27" i="44"/>
  <c r="J29" i="44"/>
  <c r="R31" i="44"/>
  <c r="J33" i="44"/>
  <c r="R34" i="44"/>
  <c r="J36" i="44"/>
  <c r="X20" i="45"/>
  <c r="Z20" i="45" s="1"/>
  <c r="J25" i="45"/>
  <c r="J29" i="45"/>
  <c r="J37" i="45"/>
  <c r="J41" i="45"/>
  <c r="V45" i="45"/>
  <c r="J49" i="45"/>
  <c r="X52" i="45"/>
  <c r="Z52" i="45" s="1"/>
  <c r="V53" i="45"/>
  <c r="L54" i="45"/>
  <c r="N54" i="45" s="1"/>
  <c r="J57" i="45"/>
  <c r="X60" i="45"/>
  <c r="Z60" i="45" s="1"/>
  <c r="V61" i="45"/>
  <c r="L62" i="45"/>
  <c r="J65" i="45"/>
  <c r="X68" i="45"/>
  <c r="Z68" i="45" s="1"/>
  <c r="V69" i="45"/>
  <c r="L70" i="45"/>
  <c r="N70" i="45" s="1"/>
  <c r="V73" i="45"/>
  <c r="L74" i="45"/>
  <c r="N74" i="45" s="1"/>
  <c r="V77" i="45"/>
  <c r="J79" i="45"/>
  <c r="V85" i="45"/>
  <c r="J89" i="45"/>
  <c r="J93" i="45"/>
  <c r="X96" i="45"/>
  <c r="V97" i="45"/>
  <c r="L100" i="45"/>
  <c r="L12" i="46"/>
  <c r="F15" i="46"/>
  <c r="V15" i="46"/>
  <c r="L16" i="46"/>
  <c r="D18" i="46"/>
  <c r="T18" i="46"/>
  <c r="L20" i="46"/>
  <c r="R21" i="46"/>
  <c r="X22" i="46"/>
  <c r="F25" i="46"/>
  <c r="V25" i="46"/>
  <c r="F29" i="46"/>
  <c r="V29" i="46"/>
  <c r="F33" i="46"/>
  <c r="V33" i="46"/>
  <c r="F36" i="46"/>
  <c r="V36" i="46"/>
  <c r="J16" i="47"/>
  <c r="R18" i="47"/>
  <c r="J20" i="47"/>
  <c r="L34" i="47"/>
  <c r="X15" i="48"/>
  <c r="P17" i="48"/>
  <c r="R19" i="48"/>
  <c r="R21" i="48"/>
  <c r="J24" i="48"/>
  <c r="R29" i="48"/>
  <c r="X31" i="48"/>
  <c r="Z31" i="48" s="1"/>
  <c r="V32" i="48"/>
  <c r="R33" i="48"/>
  <c r="J36" i="48"/>
  <c r="V40" i="48"/>
  <c r="R41" i="48"/>
  <c r="J42" i="48"/>
  <c r="R46" i="48"/>
  <c r="V48" i="48"/>
  <c r="R49" i="48"/>
  <c r="X51" i="48"/>
  <c r="Z51" i="48" s="1"/>
  <c r="V52" i="48"/>
  <c r="L53" i="48"/>
  <c r="N53" i="48" s="1"/>
  <c r="J56" i="48"/>
  <c r="J60" i="48"/>
  <c r="X63" i="48"/>
  <c r="Z63" i="48" s="1"/>
  <c r="V64" i="48"/>
  <c r="R65" i="48"/>
  <c r="X67" i="48"/>
  <c r="Z67" i="48" s="1"/>
  <c r="V68" i="48"/>
  <c r="L69" i="48"/>
  <c r="N69" i="48" s="1"/>
  <c r="R72" i="48"/>
  <c r="J73" i="48"/>
  <c r="R77" i="48"/>
  <c r="L12" i="49"/>
  <c r="F15" i="49"/>
  <c r="V15" i="49"/>
  <c r="L16" i="49"/>
  <c r="D18" i="49"/>
  <c r="T18" i="49"/>
  <c r="L20" i="49"/>
  <c r="R21" i="49"/>
  <c r="X22" i="49"/>
  <c r="F25" i="49"/>
  <c r="V25" i="49"/>
  <c r="F29" i="49"/>
  <c r="V29" i="49"/>
  <c r="F33" i="49"/>
  <c r="V33" i="49"/>
  <c r="F36" i="49"/>
  <c r="V36" i="49"/>
  <c r="J36" i="50"/>
  <c r="J33" i="50"/>
  <c r="J29" i="50"/>
  <c r="J25" i="50"/>
  <c r="J22" i="50"/>
  <c r="J34" i="50"/>
  <c r="J31" i="50"/>
  <c r="J27" i="50"/>
  <c r="J24" i="50"/>
  <c r="J16" i="50"/>
  <c r="T18" i="50"/>
  <c r="P12" i="51"/>
  <c r="H31" i="52"/>
  <c r="P26" i="54"/>
  <c r="N18" i="56"/>
  <c r="Z19" i="56"/>
  <c r="Z42" i="56"/>
  <c r="N52" i="56"/>
  <c r="R22" i="40"/>
  <c r="J21" i="41"/>
  <c r="F27" i="41"/>
  <c r="V27" i="41"/>
  <c r="F31" i="41"/>
  <c r="V31" i="41"/>
  <c r="F34" i="41"/>
  <c r="V34" i="41"/>
  <c r="J19" i="42"/>
  <c r="V21" i="42"/>
  <c r="J29" i="42"/>
  <c r="V33" i="42"/>
  <c r="J37" i="42"/>
  <c r="J41" i="42"/>
  <c r="V45" i="42"/>
  <c r="V49" i="42"/>
  <c r="J51" i="42"/>
  <c r="J57" i="42"/>
  <c r="V61" i="42"/>
  <c r="V69" i="42"/>
  <c r="J71" i="42"/>
  <c r="V73" i="42"/>
  <c r="V77" i="42"/>
  <c r="V81" i="42"/>
  <c r="V85" i="42"/>
  <c r="V89" i="42"/>
  <c r="J93" i="42"/>
  <c r="J101" i="42"/>
  <c r="V105" i="42"/>
  <c r="V109" i="42"/>
  <c r="J21" i="43"/>
  <c r="F27" i="43"/>
  <c r="V27" i="43"/>
  <c r="F31" i="43"/>
  <c r="V31" i="43"/>
  <c r="F34" i="43"/>
  <c r="V34" i="43"/>
  <c r="R16" i="44"/>
  <c r="J18" i="44"/>
  <c r="R20" i="44"/>
  <c r="F24" i="44"/>
  <c r="V24" i="44"/>
  <c r="J20" i="45"/>
  <c r="V22" i="45"/>
  <c r="J30" i="45"/>
  <c r="V34" i="45"/>
  <c r="J38" i="45"/>
  <c r="J42" i="45"/>
  <c r="V46" i="45"/>
  <c r="V50" i="45"/>
  <c r="J52" i="45"/>
  <c r="V58" i="45"/>
  <c r="J60" i="45"/>
  <c r="V66" i="45"/>
  <c r="J68" i="45"/>
  <c r="V78" i="45"/>
  <c r="J82" i="45"/>
  <c r="V86" i="45"/>
  <c r="J90" i="45"/>
  <c r="V94" i="45"/>
  <c r="J96" i="45"/>
  <c r="V98" i="45"/>
  <c r="V102" i="45"/>
  <c r="V104" i="45"/>
  <c r="F18" i="46"/>
  <c r="V18" i="46"/>
  <c r="R24" i="46"/>
  <c r="V15" i="47"/>
  <c r="T18" i="47"/>
  <c r="X18" i="47" s="1"/>
  <c r="R21" i="47"/>
  <c r="V25" i="47"/>
  <c r="V29" i="47"/>
  <c r="V33" i="47"/>
  <c r="V36" i="47"/>
  <c r="J15" i="48"/>
  <c r="Z15" i="48"/>
  <c r="R17" i="48"/>
  <c r="V21" i="48"/>
  <c r="R22" i="48"/>
  <c r="J25" i="48"/>
  <c r="V29" i="48"/>
  <c r="R30" i="48"/>
  <c r="J31" i="48"/>
  <c r="V33" i="48"/>
  <c r="R34" i="48"/>
  <c r="J37" i="48"/>
  <c r="V41" i="48"/>
  <c r="J45" i="48"/>
  <c r="V49" i="48"/>
  <c r="R50" i="48"/>
  <c r="J51" i="48"/>
  <c r="R55" i="48"/>
  <c r="V57" i="48"/>
  <c r="R58" i="48"/>
  <c r="V61" i="48"/>
  <c r="R62" i="48"/>
  <c r="J63" i="48"/>
  <c r="V65" i="48"/>
  <c r="R66" i="48"/>
  <c r="J67" i="48"/>
  <c r="D72" i="48"/>
  <c r="L72" i="48" s="1"/>
  <c r="N72" i="48" s="1"/>
  <c r="V77" i="48"/>
  <c r="F18" i="49"/>
  <c r="V18" i="49"/>
  <c r="R24" i="49"/>
  <c r="V15" i="50"/>
  <c r="V21" i="50"/>
  <c r="L33" i="51"/>
  <c r="N76" i="51"/>
  <c r="Z18" i="55"/>
  <c r="X18" i="56"/>
  <c r="Z18" i="56" s="1"/>
  <c r="Z50" i="56"/>
  <c r="V34" i="42"/>
  <c r="V38" i="42"/>
  <c r="J42" i="42"/>
  <c r="V46" i="42"/>
  <c r="V50" i="42"/>
  <c r="J54" i="42"/>
  <c r="V58" i="42"/>
  <c r="J60" i="42"/>
  <c r="J66" i="42"/>
  <c r="V70" i="42"/>
  <c r="V74" i="42"/>
  <c r="J76" i="42"/>
  <c r="V82" i="42"/>
  <c r="J84" i="42"/>
  <c r="V90" i="42"/>
  <c r="J94" i="42"/>
  <c r="J98" i="42"/>
  <c r="V102" i="42"/>
  <c r="V106" i="42"/>
  <c r="J111" i="42"/>
  <c r="V112" i="42"/>
  <c r="J116" i="42"/>
  <c r="J21" i="44"/>
  <c r="J31" i="45"/>
  <c r="V35" i="45"/>
  <c r="V39" i="45"/>
  <c r="J43" i="45"/>
  <c r="V47" i="45"/>
  <c r="V51" i="45"/>
  <c r="J55" i="45"/>
  <c r="V59" i="45"/>
  <c r="J63" i="45"/>
  <c r="V67" i="45"/>
  <c r="J71" i="45"/>
  <c r="J75" i="45"/>
  <c r="J83" i="45"/>
  <c r="V87" i="45"/>
  <c r="V91" i="45"/>
  <c r="V95" i="45"/>
  <c r="F21" i="46"/>
  <c r="V21" i="46"/>
  <c r="R27" i="46"/>
  <c r="R31" i="46"/>
  <c r="R34" i="46"/>
  <c r="J22" i="47"/>
  <c r="R24" i="47"/>
  <c r="J20" i="48"/>
  <c r="R23" i="48"/>
  <c r="J26" i="48"/>
  <c r="V30" i="48"/>
  <c r="V34" i="48"/>
  <c r="R35" i="48"/>
  <c r="J38" i="48"/>
  <c r="R44" i="48"/>
  <c r="V46" i="48"/>
  <c r="R47" i="48"/>
  <c r="J48" i="48"/>
  <c r="V50" i="48"/>
  <c r="J54" i="48"/>
  <c r="V58" i="48"/>
  <c r="R59" i="48"/>
  <c r="V62" i="48"/>
  <c r="V66" i="48"/>
  <c r="J70" i="48"/>
  <c r="V72" i="48"/>
  <c r="F21" i="49"/>
  <c r="V21" i="49"/>
  <c r="R27" i="49"/>
  <c r="R31" i="49"/>
  <c r="R34" i="49"/>
  <c r="N12" i="50"/>
  <c r="H18" i="50"/>
  <c r="X29" i="50"/>
  <c r="J69" i="51"/>
  <c r="J61" i="51"/>
  <c r="J49" i="51"/>
  <c r="J37" i="51"/>
  <c r="J25" i="51"/>
  <c r="J19" i="51"/>
  <c r="J76" i="51"/>
  <c r="J72" i="51"/>
  <c r="J66" i="51"/>
  <c r="J58" i="51"/>
  <c r="J48" i="51"/>
  <c r="J44" i="51"/>
  <c r="J36" i="51"/>
  <c r="J24" i="51"/>
  <c r="J83" i="51"/>
  <c r="J78" i="51"/>
  <c r="J71" i="51"/>
  <c r="J63" i="51"/>
  <c r="J55" i="51"/>
  <c r="J47" i="51"/>
  <c r="J43" i="51"/>
  <c r="J35" i="51"/>
  <c r="J23" i="51"/>
  <c r="J74" i="51"/>
  <c r="J68" i="51"/>
  <c r="J60" i="51"/>
  <c r="J54" i="51"/>
  <c r="J46" i="51"/>
  <c r="J42" i="51"/>
  <c r="H31" i="51"/>
  <c r="J22" i="51"/>
  <c r="J65" i="51"/>
  <c r="J57" i="51"/>
  <c r="J53" i="51"/>
  <c r="J41" i="51"/>
  <c r="J33" i="51"/>
  <c r="J29" i="51"/>
  <c r="J21" i="51"/>
  <c r="J77" i="51"/>
  <c r="J70" i="51"/>
  <c r="J62" i="51"/>
  <c r="J52" i="51"/>
  <c r="J40" i="51"/>
  <c r="J34" i="51"/>
  <c r="J28" i="51"/>
  <c r="J73" i="51"/>
  <c r="J67" i="51"/>
  <c r="J59" i="51"/>
  <c r="J51" i="51"/>
  <c r="J45" i="51"/>
  <c r="J39" i="51"/>
  <c r="J27" i="51"/>
  <c r="J79" i="51"/>
  <c r="J64" i="51"/>
  <c r="J56" i="51"/>
  <c r="J50" i="51"/>
  <c r="J38" i="51"/>
  <c r="J26" i="51"/>
  <c r="N33" i="51"/>
  <c r="Z76" i="51"/>
  <c r="Z52" i="56"/>
  <c r="J27" i="41"/>
  <c r="J31" i="41"/>
  <c r="J34" i="41"/>
  <c r="D12" i="42"/>
  <c r="V27" i="42"/>
  <c r="J31" i="42"/>
  <c r="V35" i="42"/>
  <c r="V39" i="42"/>
  <c r="J43" i="42"/>
  <c r="V47" i="42"/>
  <c r="J49" i="42"/>
  <c r="V55" i="42"/>
  <c r="V59" i="42"/>
  <c r="J63" i="42"/>
  <c r="V67" i="42"/>
  <c r="J69" i="42"/>
  <c r="V75" i="42"/>
  <c r="J79" i="42"/>
  <c r="V83" i="42"/>
  <c r="J87" i="42"/>
  <c r="V91" i="42"/>
  <c r="J95" i="42"/>
  <c r="J99" i="42"/>
  <c r="V103" i="42"/>
  <c r="J105" i="42"/>
  <c r="J27" i="43"/>
  <c r="J31" i="43"/>
  <c r="J34" i="43"/>
  <c r="X13" i="44"/>
  <c r="R22" i="44"/>
  <c r="J24" i="44"/>
  <c r="V28" i="45"/>
  <c r="J32" i="45"/>
  <c r="V36" i="45"/>
  <c r="V40" i="45"/>
  <c r="J44" i="45"/>
  <c r="V48" i="45"/>
  <c r="J50" i="45"/>
  <c r="V56" i="45"/>
  <c r="J58" i="45"/>
  <c r="V64" i="45"/>
  <c r="J66" i="45"/>
  <c r="J72" i="45"/>
  <c r="J76" i="45"/>
  <c r="J80" i="45"/>
  <c r="J84" i="45"/>
  <c r="V88" i="45"/>
  <c r="V92" i="45"/>
  <c r="J94" i="45"/>
  <c r="J102" i="45"/>
  <c r="R16" i="46"/>
  <c r="R20" i="46"/>
  <c r="F24" i="46"/>
  <c r="V24" i="46"/>
  <c r="J15" i="47"/>
  <c r="H18" i="47"/>
  <c r="J25" i="47"/>
  <c r="R27" i="47"/>
  <c r="J29" i="47"/>
  <c r="R31" i="47"/>
  <c r="J33" i="47"/>
  <c r="R34" i="47"/>
  <c r="J36" i="47"/>
  <c r="R24" i="48"/>
  <c r="J27" i="48"/>
  <c r="V35" i="48"/>
  <c r="R36" i="48"/>
  <c r="J39" i="48"/>
  <c r="J43" i="48"/>
  <c r="V47" i="48"/>
  <c r="R53" i="48"/>
  <c r="V55" i="48"/>
  <c r="R56" i="48"/>
  <c r="J57" i="48"/>
  <c r="V59" i="48"/>
  <c r="R60" i="48"/>
  <c r="J61" i="48"/>
  <c r="R69" i="48"/>
  <c r="F24" i="49"/>
  <c r="V24" i="49"/>
  <c r="R20" i="50"/>
  <c r="R34" i="50"/>
  <c r="R31" i="50"/>
  <c r="R27" i="50"/>
  <c r="R24" i="50"/>
  <c r="R36" i="50"/>
  <c r="R33" i="50"/>
  <c r="R29" i="50"/>
  <c r="R25" i="50"/>
  <c r="R22" i="50"/>
  <c r="J15" i="50"/>
  <c r="J18" i="50"/>
  <c r="Z73" i="51"/>
  <c r="J16" i="41"/>
  <c r="J20" i="42"/>
  <c r="V28" i="42"/>
  <c r="J32" i="42"/>
  <c r="V36" i="42"/>
  <c r="J38" i="42"/>
  <c r="V40" i="42"/>
  <c r="J44" i="42"/>
  <c r="V48" i="42"/>
  <c r="J52" i="42"/>
  <c r="V56" i="42"/>
  <c r="J58" i="42"/>
  <c r="J64" i="42"/>
  <c r="V68" i="42"/>
  <c r="J72" i="42"/>
  <c r="J80" i="42"/>
  <c r="J88" i="42"/>
  <c r="V92" i="42"/>
  <c r="J96" i="42"/>
  <c r="V100" i="42"/>
  <c r="J102" i="42"/>
  <c r="V104" i="42"/>
  <c r="J109" i="42"/>
  <c r="J16" i="43"/>
  <c r="R15" i="44"/>
  <c r="P18" i="44"/>
  <c r="R25" i="44"/>
  <c r="J27" i="44"/>
  <c r="R29" i="44"/>
  <c r="J31" i="44"/>
  <c r="R33" i="44"/>
  <c r="J21" i="45"/>
  <c r="V29" i="45"/>
  <c r="J33" i="45"/>
  <c r="V37" i="45"/>
  <c r="J39" i="45"/>
  <c r="V41" i="45"/>
  <c r="J45" i="45"/>
  <c r="V49" i="45"/>
  <c r="J53" i="45"/>
  <c r="V57" i="45"/>
  <c r="J61" i="45"/>
  <c r="V65" i="45"/>
  <c r="J69" i="45"/>
  <c r="J73" i="45"/>
  <c r="J77" i="45"/>
  <c r="V81" i="45"/>
  <c r="J85" i="45"/>
  <c r="V89" i="45"/>
  <c r="J91" i="45"/>
  <c r="F27" i="46"/>
  <c r="V27" i="46"/>
  <c r="F31" i="46"/>
  <c r="V31" i="46"/>
  <c r="R16" i="47"/>
  <c r="H17" i="48"/>
  <c r="V24" i="48"/>
  <c r="R25" i="48"/>
  <c r="J28" i="48"/>
  <c r="J32" i="48"/>
  <c r="V36" i="48"/>
  <c r="R37" i="48"/>
  <c r="J40" i="48"/>
  <c r="R42" i="48"/>
  <c r="V44" i="48"/>
  <c r="R45" i="48"/>
  <c r="J46" i="48"/>
  <c r="J52" i="48"/>
  <c r="V56" i="48"/>
  <c r="J64" i="48"/>
  <c r="J68" i="48"/>
  <c r="F27" i="49"/>
  <c r="V27" i="49"/>
  <c r="F31" i="49"/>
  <c r="V31" i="49"/>
  <c r="V34" i="50"/>
  <c r="V24" i="50"/>
  <c r="V18" i="50"/>
  <c r="V36" i="50"/>
  <c r="V33" i="50"/>
  <c r="V20" i="50"/>
  <c r="R16" i="50"/>
  <c r="J20" i="50"/>
  <c r="L24" i="50"/>
  <c r="V29" i="50"/>
  <c r="J20" i="51"/>
  <c r="Z33" i="51"/>
  <c r="L18" i="55"/>
  <c r="N18" i="55" s="1"/>
  <c r="Z21" i="55"/>
  <c r="D75" i="56"/>
  <c r="L21" i="50"/>
  <c r="X34" i="50"/>
  <c r="V22" i="51"/>
  <c r="V34" i="51"/>
  <c r="V42" i="51"/>
  <c r="V46" i="51"/>
  <c r="V54" i="51"/>
  <c r="V62" i="51"/>
  <c r="V70" i="51"/>
  <c r="V74" i="51"/>
  <c r="X77" i="51"/>
  <c r="T81" i="51"/>
  <c r="L12" i="52"/>
  <c r="F15" i="52"/>
  <c r="V15" i="52"/>
  <c r="D18" i="52"/>
  <c r="T18" i="52"/>
  <c r="R21" i="52"/>
  <c r="F25" i="52"/>
  <c r="V25" i="52"/>
  <c r="F29" i="52"/>
  <c r="V29" i="52"/>
  <c r="F33" i="52"/>
  <c r="V33" i="52"/>
  <c r="F36" i="52"/>
  <c r="V36" i="52"/>
  <c r="J16" i="53"/>
  <c r="R18" i="53"/>
  <c r="J20" i="53"/>
  <c r="F22" i="53"/>
  <c r="V22" i="53"/>
  <c r="R24" i="54"/>
  <c r="P16" i="55"/>
  <c r="R18" i="55"/>
  <c r="V19" i="55"/>
  <c r="R20" i="55"/>
  <c r="J21" i="55"/>
  <c r="R25" i="55"/>
  <c r="J27" i="55"/>
  <c r="F29" i="55"/>
  <c r="V29" i="55"/>
  <c r="J33" i="55"/>
  <c r="F35" i="55"/>
  <c r="V35" i="55"/>
  <c r="R14" i="56"/>
  <c r="J16" i="56"/>
  <c r="Z16" i="56"/>
  <c r="J20" i="56"/>
  <c r="F21" i="56"/>
  <c r="R25" i="56"/>
  <c r="J28" i="56"/>
  <c r="J32" i="56"/>
  <c r="F33" i="56"/>
  <c r="R37" i="56"/>
  <c r="F40" i="56"/>
  <c r="V40" i="56"/>
  <c r="R41" i="56"/>
  <c r="J42" i="56"/>
  <c r="F45" i="56"/>
  <c r="R46" i="56"/>
  <c r="F48" i="56"/>
  <c r="V48" i="56"/>
  <c r="R49" i="56"/>
  <c r="J50" i="56"/>
  <c r="F53" i="56"/>
  <c r="R54" i="56"/>
  <c r="J56" i="56"/>
  <c r="F57" i="56"/>
  <c r="R58" i="56"/>
  <c r="J60" i="56"/>
  <c r="V64" i="56"/>
  <c r="R65" i="56"/>
  <c r="J66" i="56"/>
  <c r="R75" i="56"/>
  <c r="R82" i="56"/>
  <c r="X16" i="57"/>
  <c r="P68" i="57"/>
  <c r="V23" i="51"/>
  <c r="V35" i="51"/>
  <c r="V43" i="51"/>
  <c r="V47" i="51"/>
  <c r="V55" i="51"/>
  <c r="V63" i="51"/>
  <c r="V71" i="51"/>
  <c r="V81" i="51"/>
  <c r="V83" i="51"/>
  <c r="N12" i="52"/>
  <c r="F18" i="52"/>
  <c r="V18" i="52"/>
  <c r="J22" i="52"/>
  <c r="R24" i="52"/>
  <c r="L12" i="53"/>
  <c r="F15" i="53"/>
  <c r="V15" i="53"/>
  <c r="D18" i="53"/>
  <c r="T18" i="53"/>
  <c r="R21" i="53"/>
  <c r="F25" i="53"/>
  <c r="V25" i="53"/>
  <c r="F29" i="53"/>
  <c r="V29" i="53"/>
  <c r="F33" i="53"/>
  <c r="V33" i="53"/>
  <c r="F36" i="53"/>
  <c r="V36" i="53"/>
  <c r="V14" i="54"/>
  <c r="V18" i="54"/>
  <c r="V22" i="54"/>
  <c r="V24" i="54"/>
  <c r="F28" i="54"/>
  <c r="V28" i="54"/>
  <c r="F31" i="54"/>
  <c r="V31" i="54"/>
  <c r="R16" i="55"/>
  <c r="V20" i="55"/>
  <c r="J24" i="55"/>
  <c r="F79" i="56"/>
  <c r="F73" i="56"/>
  <c r="F82" i="56"/>
  <c r="F75" i="56"/>
  <c r="R19" i="56"/>
  <c r="J21" i="56"/>
  <c r="F22" i="56"/>
  <c r="R26" i="56"/>
  <c r="F29" i="56"/>
  <c r="R30" i="56"/>
  <c r="J33" i="56"/>
  <c r="F34" i="56"/>
  <c r="R38" i="56"/>
  <c r="V41" i="56"/>
  <c r="J45" i="56"/>
  <c r="V49" i="56"/>
  <c r="J53" i="56"/>
  <c r="J57" i="56"/>
  <c r="F61" i="56"/>
  <c r="V61" i="56"/>
  <c r="R62" i="56"/>
  <c r="J63" i="56"/>
  <c r="V65" i="56"/>
  <c r="F70" i="56"/>
  <c r="V70" i="56"/>
  <c r="R72" i="57"/>
  <c r="R66" i="57"/>
  <c r="R56" i="57"/>
  <c r="R47" i="57"/>
  <c r="R44" i="57"/>
  <c r="R39" i="57"/>
  <c r="R31" i="57"/>
  <c r="R27" i="57"/>
  <c r="R62" i="57"/>
  <c r="R59" i="57"/>
  <c r="R38" i="57"/>
  <c r="R30" i="57"/>
  <c r="R26" i="57"/>
  <c r="R53" i="57"/>
  <c r="R49" i="57"/>
  <c r="R46" i="57"/>
  <c r="R41" i="57"/>
  <c r="R37" i="57"/>
  <c r="R25" i="57"/>
  <c r="R14" i="57"/>
  <c r="R70" i="57"/>
  <c r="R64" i="57"/>
  <c r="R61" i="57"/>
  <c r="R52" i="57"/>
  <c r="R36" i="57"/>
  <c r="R29" i="57"/>
  <c r="R24" i="57"/>
  <c r="X12" i="57"/>
  <c r="R75" i="57"/>
  <c r="R68" i="57"/>
  <c r="R55" i="57"/>
  <c r="R51" i="57"/>
  <c r="R48" i="57"/>
  <c r="R43" i="57"/>
  <c r="R40" i="57"/>
  <c r="R35" i="57"/>
  <c r="R23" i="57"/>
  <c r="R63" i="57"/>
  <c r="R58" i="57"/>
  <c r="R34" i="57"/>
  <c r="R22" i="57"/>
  <c r="R57" i="57"/>
  <c r="R54" i="57"/>
  <c r="R50" i="57"/>
  <c r="R45" i="57"/>
  <c r="R42" i="57"/>
  <c r="R33" i="57"/>
  <c r="R21" i="57"/>
  <c r="R16" i="57"/>
  <c r="R60" i="57"/>
  <c r="Z54" i="57"/>
  <c r="N56" i="57"/>
  <c r="Z59" i="57"/>
  <c r="L18" i="60"/>
  <c r="N18" i="60" s="1"/>
  <c r="N42" i="60"/>
  <c r="V36" i="51"/>
  <c r="V44" i="51"/>
  <c r="V48" i="51"/>
  <c r="V60" i="51"/>
  <c r="V68" i="51"/>
  <c r="V72" i="51"/>
  <c r="V78" i="51"/>
  <c r="V21" i="52"/>
  <c r="R27" i="52"/>
  <c r="R31" i="52"/>
  <c r="J33" i="52"/>
  <c r="R34" i="52"/>
  <c r="J36" i="52"/>
  <c r="R23" i="55"/>
  <c r="R26" i="55"/>
  <c r="R31" i="55"/>
  <c r="R38" i="55"/>
  <c r="J77" i="56"/>
  <c r="J71" i="56"/>
  <c r="J22" i="56"/>
  <c r="F23" i="56"/>
  <c r="R27" i="56"/>
  <c r="R31" i="56"/>
  <c r="J34" i="56"/>
  <c r="F35" i="56"/>
  <c r="R39" i="56"/>
  <c r="J40" i="56"/>
  <c r="F43" i="56"/>
  <c r="R44" i="56"/>
  <c r="F46" i="56"/>
  <c r="V46" i="56"/>
  <c r="R47" i="56"/>
  <c r="J48" i="56"/>
  <c r="F51" i="56"/>
  <c r="R52" i="56"/>
  <c r="F54" i="56"/>
  <c r="V54" i="56"/>
  <c r="R55" i="56"/>
  <c r="F58" i="56"/>
  <c r="V58" i="56"/>
  <c r="R59" i="56"/>
  <c r="V62" i="56"/>
  <c r="F67" i="56"/>
  <c r="R68" i="56"/>
  <c r="V62" i="57"/>
  <c r="V46" i="57"/>
  <c r="V38" i="57"/>
  <c r="V30" i="57"/>
  <c r="V26" i="57"/>
  <c r="V61" i="57"/>
  <c r="V53" i="57"/>
  <c r="V49" i="57"/>
  <c r="V41" i="57"/>
  <c r="V37" i="57"/>
  <c r="V29" i="57"/>
  <c r="V25" i="57"/>
  <c r="V75" i="57"/>
  <c r="V70" i="57"/>
  <c r="V68" i="57"/>
  <c r="V64" i="57"/>
  <c r="V52" i="57"/>
  <c r="V48" i="57"/>
  <c r="V40" i="57"/>
  <c r="V36" i="57"/>
  <c r="V24" i="57"/>
  <c r="Z12" i="57"/>
  <c r="V63" i="57"/>
  <c r="V55" i="57"/>
  <c r="V51" i="57"/>
  <c r="V43" i="57"/>
  <c r="V35" i="57"/>
  <c r="V23" i="57"/>
  <c r="V58" i="57"/>
  <c r="V54" i="57"/>
  <c r="V50" i="57"/>
  <c r="V42" i="57"/>
  <c r="V34" i="57"/>
  <c r="V22" i="57"/>
  <c r="V18" i="57"/>
  <c r="V16" i="57"/>
  <c r="V57" i="57"/>
  <c r="V45" i="57"/>
  <c r="V33" i="57"/>
  <c r="V21" i="57"/>
  <c r="V72" i="57"/>
  <c r="V66" i="57"/>
  <c r="V60" i="57"/>
  <c r="V56" i="57"/>
  <c r="V44" i="57"/>
  <c r="V32" i="57"/>
  <c r="V28" i="57"/>
  <c r="V20" i="57"/>
  <c r="V59" i="57"/>
  <c r="V47" i="57"/>
  <c r="V14" i="57"/>
  <c r="V19" i="57"/>
  <c r="T71" i="59"/>
  <c r="V31" i="51"/>
  <c r="V33" i="51"/>
  <c r="V37" i="51"/>
  <c r="V49" i="51"/>
  <c r="V61" i="51"/>
  <c r="V69" i="51"/>
  <c r="R16" i="52"/>
  <c r="R20" i="52"/>
  <c r="F24" i="52"/>
  <c r="V24" i="52"/>
  <c r="H18" i="53"/>
  <c r="F21" i="53"/>
  <c r="J25" i="53"/>
  <c r="R27" i="53"/>
  <c r="J29" i="53"/>
  <c r="R31" i="53"/>
  <c r="J33" i="53"/>
  <c r="R34" i="53"/>
  <c r="J36" i="53"/>
  <c r="J31" i="54"/>
  <c r="V16" i="55"/>
  <c r="V18" i="55"/>
  <c r="V26" i="55"/>
  <c r="R27" i="55"/>
  <c r="D31" i="55"/>
  <c r="T31" i="55"/>
  <c r="R33" i="55"/>
  <c r="L12" i="56"/>
  <c r="P16" i="56"/>
  <c r="R18" i="56"/>
  <c r="R20" i="56"/>
  <c r="J23" i="56"/>
  <c r="F24" i="56"/>
  <c r="R28" i="56"/>
  <c r="J29" i="56"/>
  <c r="R32" i="56"/>
  <c r="J35" i="56"/>
  <c r="F36" i="56"/>
  <c r="J43" i="56"/>
  <c r="J51" i="56"/>
  <c r="V55" i="56"/>
  <c r="R56" i="56"/>
  <c r="V59" i="56"/>
  <c r="R60" i="56"/>
  <c r="J61" i="56"/>
  <c r="F64" i="56"/>
  <c r="J67" i="56"/>
  <c r="J70" i="56"/>
  <c r="H81" i="58"/>
  <c r="N19" i="59"/>
  <c r="N47" i="59"/>
  <c r="X15" i="51"/>
  <c r="V26" i="51"/>
  <c r="V38" i="51"/>
  <c r="V50" i="51"/>
  <c r="V58" i="51"/>
  <c r="V66" i="51"/>
  <c r="V76" i="51"/>
  <c r="X12" i="52"/>
  <c r="J21" i="52"/>
  <c r="F27" i="52"/>
  <c r="V27" i="52"/>
  <c r="F31" i="52"/>
  <c r="V31" i="52"/>
  <c r="F34" i="52"/>
  <c r="V34" i="52"/>
  <c r="R16" i="53"/>
  <c r="J18" i="53"/>
  <c r="R20" i="53"/>
  <c r="F24" i="53"/>
  <c r="V24" i="53"/>
  <c r="D16" i="54"/>
  <c r="T16" i="54"/>
  <c r="L18" i="54"/>
  <c r="L28" i="54"/>
  <c r="N28" i="54" s="1"/>
  <c r="X12" i="55"/>
  <c r="H16" i="55"/>
  <c r="R21" i="55"/>
  <c r="V23" i="55"/>
  <c r="R24" i="55"/>
  <c r="J25" i="55"/>
  <c r="V27" i="55"/>
  <c r="F31" i="55"/>
  <c r="V31" i="55"/>
  <c r="V33" i="55"/>
  <c r="F38" i="55"/>
  <c r="V38" i="55"/>
  <c r="N12" i="56"/>
  <c r="J14" i="56"/>
  <c r="R16" i="56"/>
  <c r="R21" i="56"/>
  <c r="J24" i="56"/>
  <c r="F25" i="56"/>
  <c r="R33" i="56"/>
  <c r="J36" i="56"/>
  <c r="F37" i="56"/>
  <c r="F41" i="56"/>
  <c r="R42" i="56"/>
  <c r="F44" i="56"/>
  <c r="V44" i="56"/>
  <c r="R45" i="56"/>
  <c r="J46" i="56"/>
  <c r="F49" i="56"/>
  <c r="R50" i="56"/>
  <c r="F52" i="56"/>
  <c r="V52" i="56"/>
  <c r="R53" i="56"/>
  <c r="J54" i="56"/>
  <c r="V56" i="56"/>
  <c r="R57" i="56"/>
  <c r="J58" i="56"/>
  <c r="V60" i="56"/>
  <c r="L61" i="56"/>
  <c r="N61" i="56" s="1"/>
  <c r="J64" i="56"/>
  <c r="F65" i="56"/>
  <c r="R66" i="56"/>
  <c r="F68" i="56"/>
  <c r="V68" i="56"/>
  <c r="R69" i="56"/>
  <c r="F71" i="56"/>
  <c r="J73" i="56"/>
  <c r="F77" i="56"/>
  <c r="J79" i="56"/>
  <c r="D16" i="57"/>
  <c r="R28" i="57"/>
  <c r="V31" i="57"/>
  <c r="N44" i="57"/>
  <c r="T81" i="58"/>
  <c r="Z30" i="58"/>
  <c r="D63" i="60"/>
  <c r="L59" i="60"/>
  <c r="N59" i="60" s="1"/>
  <c r="X18" i="60"/>
  <c r="Z18" i="60" s="1"/>
  <c r="V27" i="51"/>
  <c r="V39" i="51"/>
  <c r="V51" i="51"/>
  <c r="X58" i="51"/>
  <c r="V59" i="51"/>
  <c r="L60" i="51"/>
  <c r="N60" i="51" s="1"/>
  <c r="X66" i="51"/>
  <c r="Z66" i="51" s="1"/>
  <c r="V67" i="51"/>
  <c r="L68" i="51"/>
  <c r="V79" i="51"/>
  <c r="Z12" i="52"/>
  <c r="V16" i="52"/>
  <c r="V20" i="52"/>
  <c r="L21" i="52"/>
  <c r="R22" i="52"/>
  <c r="J24" i="52"/>
  <c r="X34" i="52"/>
  <c r="X12" i="53"/>
  <c r="J21" i="53"/>
  <c r="X24" i="53"/>
  <c r="F27" i="53"/>
  <c r="V27" i="53"/>
  <c r="F31" i="53"/>
  <c r="V31" i="53"/>
  <c r="F34" i="53"/>
  <c r="V34" i="53"/>
  <c r="V16" i="54"/>
  <c r="V20" i="54"/>
  <c r="V26" i="54"/>
  <c r="V29" i="54"/>
  <c r="R14" i="55"/>
  <c r="V24" i="55"/>
  <c r="J19" i="56"/>
  <c r="R22" i="56"/>
  <c r="J25" i="56"/>
  <c r="F26" i="56"/>
  <c r="F30" i="56"/>
  <c r="R34" i="56"/>
  <c r="J37" i="56"/>
  <c r="F38" i="56"/>
  <c r="J41" i="56"/>
  <c r="X44" i="56"/>
  <c r="Z44" i="56" s="1"/>
  <c r="V45" i="56"/>
  <c r="L46" i="56"/>
  <c r="J49" i="56"/>
  <c r="X52" i="56"/>
  <c r="V53" i="56"/>
  <c r="L54" i="56"/>
  <c r="V57" i="56"/>
  <c r="L58" i="56"/>
  <c r="N58" i="56" s="1"/>
  <c r="F62" i="56"/>
  <c r="R63" i="56"/>
  <c r="J65" i="56"/>
  <c r="X68" i="56"/>
  <c r="Z68" i="56" s="1"/>
  <c r="J75" i="56"/>
  <c r="J82" i="56"/>
  <c r="N18" i="57"/>
  <c r="R20" i="57"/>
  <c r="N46" i="57"/>
  <c r="N18" i="59"/>
  <c r="Z19" i="59"/>
  <c r="Z47" i="59"/>
  <c r="H63" i="60"/>
  <c r="V20" i="51"/>
  <c r="V28" i="51"/>
  <c r="V40" i="51"/>
  <c r="V52" i="51"/>
  <c r="V56" i="51"/>
  <c r="V64" i="51"/>
  <c r="R15" i="52"/>
  <c r="P18" i="52"/>
  <c r="R25" i="52"/>
  <c r="J27" i="52"/>
  <c r="R29" i="52"/>
  <c r="J31" i="52"/>
  <c r="R33" i="52"/>
  <c r="J34" i="52"/>
  <c r="R36" i="52"/>
  <c r="Z12" i="53"/>
  <c r="X13" i="53"/>
  <c r="F16" i="53"/>
  <c r="V16" i="53"/>
  <c r="R22" i="53"/>
  <c r="J24" i="53"/>
  <c r="X12" i="54"/>
  <c r="H16" i="54"/>
  <c r="R19" i="55"/>
  <c r="F21" i="55"/>
  <c r="V21" i="55"/>
  <c r="R22" i="55"/>
  <c r="J23" i="55"/>
  <c r="F26" i="55"/>
  <c r="R29" i="55"/>
  <c r="J31" i="55"/>
  <c r="J38" i="55"/>
  <c r="V79" i="56"/>
  <c r="V73" i="56"/>
  <c r="V82" i="56"/>
  <c r="V77" i="56"/>
  <c r="V75" i="56"/>
  <c r="V71" i="56"/>
  <c r="F16" i="56"/>
  <c r="V16" i="56"/>
  <c r="J18" i="56"/>
  <c r="V18" i="56"/>
  <c r="V22" i="56"/>
  <c r="R23" i="56"/>
  <c r="J26" i="56"/>
  <c r="F27" i="56"/>
  <c r="J30" i="56"/>
  <c r="F31" i="56"/>
  <c r="V34" i="56"/>
  <c r="R35" i="56"/>
  <c r="J38" i="56"/>
  <c r="F39" i="56"/>
  <c r="R40" i="56"/>
  <c r="F42" i="56"/>
  <c r="V42" i="56"/>
  <c r="R43" i="56"/>
  <c r="J44" i="56"/>
  <c r="F47" i="56"/>
  <c r="R48" i="56"/>
  <c r="F50" i="56"/>
  <c r="V50" i="56"/>
  <c r="R51" i="56"/>
  <c r="J52" i="56"/>
  <c r="F55" i="56"/>
  <c r="F59" i="56"/>
  <c r="J62" i="56"/>
  <c r="F66" i="56"/>
  <c r="V66" i="56"/>
  <c r="R67" i="56"/>
  <c r="J68" i="56"/>
  <c r="X70" i="56"/>
  <c r="Z70" i="56" s="1"/>
  <c r="F55" i="57"/>
  <c r="F51" i="57"/>
  <c r="F46" i="57"/>
  <c r="F43" i="57"/>
  <c r="F35" i="57"/>
  <c r="F23" i="57"/>
  <c r="F61" i="57"/>
  <c r="F58" i="57"/>
  <c r="F34" i="57"/>
  <c r="F29" i="57"/>
  <c r="F75" i="57"/>
  <c r="F68" i="57"/>
  <c r="F57" i="57"/>
  <c r="F48" i="57"/>
  <c r="F45" i="57"/>
  <c r="F40" i="57"/>
  <c r="F33" i="57"/>
  <c r="F21" i="57"/>
  <c r="F63" i="57"/>
  <c r="F60" i="57"/>
  <c r="F32" i="57"/>
  <c r="F28" i="57"/>
  <c r="F20" i="57"/>
  <c r="F54" i="57"/>
  <c r="F50" i="57"/>
  <c r="F47" i="57"/>
  <c r="F42" i="57"/>
  <c r="F39" i="57"/>
  <c r="F31" i="57"/>
  <c r="F27" i="57"/>
  <c r="F62" i="57"/>
  <c r="F38" i="57"/>
  <c r="F30" i="57"/>
  <c r="F26" i="57"/>
  <c r="F72" i="57"/>
  <c r="F66" i="57"/>
  <c r="F56" i="57"/>
  <c r="F53" i="57"/>
  <c r="F49" i="57"/>
  <c r="F44" i="57"/>
  <c r="F41" i="57"/>
  <c r="F37" i="57"/>
  <c r="F25" i="57"/>
  <c r="F70" i="57"/>
  <c r="F64" i="57"/>
  <c r="F59" i="57"/>
  <c r="F52" i="57"/>
  <c r="X18" i="57"/>
  <c r="Z18" i="57" s="1"/>
  <c r="F22" i="57"/>
  <c r="F36" i="57"/>
  <c r="Z44" i="57"/>
  <c r="Z50" i="57"/>
  <c r="N18" i="58"/>
  <c r="Z70" i="58"/>
  <c r="N55" i="59"/>
  <c r="T59" i="60"/>
  <c r="V29" i="51"/>
  <c r="V41" i="51"/>
  <c r="V45" i="51"/>
  <c r="V53" i="51"/>
  <c r="V57" i="51"/>
  <c r="V65" i="51"/>
  <c r="V73" i="51"/>
  <c r="J16" i="52"/>
  <c r="R15" i="53"/>
  <c r="P18" i="53"/>
  <c r="R25" i="53"/>
  <c r="J27" i="53"/>
  <c r="R29" i="53"/>
  <c r="J31" i="53"/>
  <c r="R33" i="53"/>
  <c r="R14" i="54"/>
  <c r="J16" i="54"/>
  <c r="R18" i="54"/>
  <c r="J20" i="54"/>
  <c r="R22" i="54"/>
  <c r="J26" i="54"/>
  <c r="R28" i="54"/>
  <c r="V14" i="55"/>
  <c r="F27" i="55"/>
  <c r="X12" i="56"/>
  <c r="H16" i="56"/>
  <c r="F20" i="56"/>
  <c r="V23" i="56"/>
  <c r="R24" i="56"/>
  <c r="J27" i="56"/>
  <c r="F28" i="56"/>
  <c r="R29" i="56"/>
  <c r="J31" i="56"/>
  <c r="F32" i="56"/>
  <c r="V35" i="56"/>
  <c r="R36" i="56"/>
  <c r="J39" i="56"/>
  <c r="V43" i="56"/>
  <c r="J47" i="56"/>
  <c r="V51" i="56"/>
  <c r="J55" i="56"/>
  <c r="F56" i="56"/>
  <c r="J59" i="56"/>
  <c r="F60" i="56"/>
  <c r="R61" i="56"/>
  <c r="F63" i="56"/>
  <c r="V63" i="56"/>
  <c r="R64" i="56"/>
  <c r="V67" i="56"/>
  <c r="R70" i="56"/>
  <c r="R71" i="56"/>
  <c r="R73" i="56"/>
  <c r="R77" i="56"/>
  <c r="J75" i="57"/>
  <c r="J68" i="57"/>
  <c r="J58" i="57"/>
  <c r="J48" i="57"/>
  <c r="J40" i="57"/>
  <c r="J34" i="57"/>
  <c r="J22" i="57"/>
  <c r="J63" i="57"/>
  <c r="J57" i="57"/>
  <c r="J45" i="57"/>
  <c r="J33" i="57"/>
  <c r="J60" i="57"/>
  <c r="J54" i="57"/>
  <c r="J50" i="57"/>
  <c r="J42" i="57"/>
  <c r="J32" i="57"/>
  <c r="J28" i="57"/>
  <c r="J20" i="57"/>
  <c r="J16" i="57"/>
  <c r="J47" i="57"/>
  <c r="J39" i="57"/>
  <c r="J31" i="57"/>
  <c r="J27" i="57"/>
  <c r="H16" i="57"/>
  <c r="J72" i="57"/>
  <c r="J66" i="57"/>
  <c r="J62" i="57"/>
  <c r="J56" i="57"/>
  <c r="J44" i="57"/>
  <c r="J38" i="57"/>
  <c r="J30" i="57"/>
  <c r="J26" i="57"/>
  <c r="J18" i="57"/>
  <c r="J59" i="57"/>
  <c r="J53" i="57"/>
  <c r="J49" i="57"/>
  <c r="J41" i="57"/>
  <c r="J37" i="57"/>
  <c r="J25" i="57"/>
  <c r="J19" i="57"/>
  <c r="J70" i="57"/>
  <c r="J64" i="57"/>
  <c r="J52" i="57"/>
  <c r="J46" i="57"/>
  <c r="J36" i="57"/>
  <c r="J24" i="57"/>
  <c r="J14" i="57"/>
  <c r="N12" i="57"/>
  <c r="J61" i="57"/>
  <c r="J55" i="57"/>
  <c r="J51" i="57"/>
  <c r="V27" i="57"/>
  <c r="V39" i="57"/>
  <c r="X18" i="58"/>
  <c r="Z18" i="58" s="1"/>
  <c r="N18" i="61"/>
  <c r="R36" i="58"/>
  <c r="J39" i="58"/>
  <c r="R41" i="58"/>
  <c r="R44" i="58"/>
  <c r="J45" i="58"/>
  <c r="R49" i="58"/>
  <c r="R52" i="58"/>
  <c r="J53" i="58"/>
  <c r="R56" i="58"/>
  <c r="J57" i="58"/>
  <c r="F64" i="58"/>
  <c r="V67" i="58"/>
  <c r="J71" i="58"/>
  <c r="J75" i="58"/>
  <c r="R77" i="58"/>
  <c r="J81" i="58"/>
  <c r="R84" i="58"/>
  <c r="J22" i="59"/>
  <c r="J34" i="59"/>
  <c r="R39" i="59"/>
  <c r="J40" i="59"/>
  <c r="J46" i="59"/>
  <c r="J50" i="59"/>
  <c r="R52" i="59"/>
  <c r="J54" i="59"/>
  <c r="V58" i="59"/>
  <c r="R59" i="59"/>
  <c r="J60" i="59"/>
  <c r="F63" i="59"/>
  <c r="F69" i="59"/>
  <c r="R24" i="60"/>
  <c r="R29" i="60"/>
  <c r="R36" i="60"/>
  <c r="J51" i="60"/>
  <c r="F52" i="60"/>
  <c r="J55" i="60"/>
  <c r="F57" i="60"/>
  <c r="J61" i="60"/>
  <c r="F63" i="60"/>
  <c r="P57" i="61"/>
  <c r="V30" i="61"/>
  <c r="V31" i="61"/>
  <c r="V37" i="61"/>
  <c r="F42" i="61"/>
  <c r="R14" i="58"/>
  <c r="J16" i="58"/>
  <c r="Z16" i="58"/>
  <c r="J20" i="58"/>
  <c r="F21" i="58"/>
  <c r="V24" i="58"/>
  <c r="R25" i="58"/>
  <c r="J28" i="58"/>
  <c r="F29" i="58"/>
  <c r="R30" i="58"/>
  <c r="J32" i="58"/>
  <c r="F33" i="58"/>
  <c r="V36" i="58"/>
  <c r="R37" i="58"/>
  <c r="J40" i="58"/>
  <c r="V44" i="58"/>
  <c r="J48" i="58"/>
  <c r="V52" i="58"/>
  <c r="V56" i="58"/>
  <c r="F61" i="58"/>
  <c r="J64" i="58"/>
  <c r="F65" i="58"/>
  <c r="F69" i="58"/>
  <c r="R70" i="58"/>
  <c r="F72" i="58"/>
  <c r="V72" i="58"/>
  <c r="R73" i="58"/>
  <c r="D77" i="58"/>
  <c r="R79" i="58"/>
  <c r="L12" i="59"/>
  <c r="P16" i="59"/>
  <c r="F18" i="59"/>
  <c r="R18" i="59"/>
  <c r="F19" i="59"/>
  <c r="V19" i="59"/>
  <c r="R20" i="59"/>
  <c r="J23" i="59"/>
  <c r="F24" i="59"/>
  <c r="V27" i="59"/>
  <c r="R28" i="59"/>
  <c r="J29" i="59"/>
  <c r="V31" i="59"/>
  <c r="R32" i="59"/>
  <c r="J35" i="59"/>
  <c r="F36" i="59"/>
  <c r="V39" i="59"/>
  <c r="J43" i="59"/>
  <c r="F44" i="59"/>
  <c r="R45" i="59"/>
  <c r="F47" i="59"/>
  <c r="V47" i="59"/>
  <c r="R48" i="59"/>
  <c r="J51" i="59"/>
  <c r="F55" i="59"/>
  <c r="V55" i="59"/>
  <c r="R56" i="59"/>
  <c r="J57" i="59"/>
  <c r="V59" i="59"/>
  <c r="J63" i="59"/>
  <c r="F65" i="59"/>
  <c r="V65" i="59"/>
  <c r="J69" i="59"/>
  <c r="F71" i="59"/>
  <c r="V71" i="59"/>
  <c r="R14" i="60"/>
  <c r="J16" i="60"/>
  <c r="Z16" i="60"/>
  <c r="J20" i="60"/>
  <c r="F21" i="60"/>
  <c r="R25" i="60"/>
  <c r="J28" i="60"/>
  <c r="J32" i="60"/>
  <c r="F33" i="60"/>
  <c r="V36" i="60"/>
  <c r="R37" i="60"/>
  <c r="F40" i="60"/>
  <c r="V40" i="60"/>
  <c r="R41" i="60"/>
  <c r="J42" i="60"/>
  <c r="F45" i="60"/>
  <c r="F49" i="60"/>
  <c r="R50" i="60"/>
  <c r="J52" i="60"/>
  <c r="F53" i="60"/>
  <c r="R54" i="60"/>
  <c r="F59" i="61"/>
  <c r="F53" i="61"/>
  <c r="F44" i="61"/>
  <c r="F41" i="61"/>
  <c r="F37" i="61"/>
  <c r="F25" i="61"/>
  <c r="F47" i="61"/>
  <c r="F36" i="61"/>
  <c r="F43" i="61"/>
  <c r="F64" i="61"/>
  <c r="F57" i="61"/>
  <c r="F49" i="61"/>
  <c r="F46" i="61"/>
  <c r="F48" i="61"/>
  <c r="F32" i="61"/>
  <c r="F28" i="61"/>
  <c r="F51" i="61"/>
  <c r="F61" i="61"/>
  <c r="F55" i="61"/>
  <c r="F50" i="61"/>
  <c r="F14" i="61"/>
  <c r="T16" i="61"/>
  <c r="J18" i="61"/>
  <c r="J20" i="61"/>
  <c r="J21" i="61"/>
  <c r="J22" i="61"/>
  <c r="J23" i="61"/>
  <c r="F24" i="61"/>
  <c r="J25" i="61"/>
  <c r="F26" i="61"/>
  <c r="F27" i="61"/>
  <c r="J28" i="61"/>
  <c r="F29" i="61"/>
  <c r="J34" i="61"/>
  <c r="F35" i="61"/>
  <c r="R53" i="61"/>
  <c r="Z20" i="62"/>
  <c r="T91" i="63"/>
  <c r="V91" i="63" s="1"/>
  <c r="R19" i="58"/>
  <c r="J21" i="58"/>
  <c r="F22" i="58"/>
  <c r="V25" i="58"/>
  <c r="R26" i="58"/>
  <c r="J29" i="58"/>
  <c r="J33" i="58"/>
  <c r="F34" i="58"/>
  <c r="V37" i="58"/>
  <c r="R38" i="58"/>
  <c r="F41" i="58"/>
  <c r="V41" i="58"/>
  <c r="R42" i="58"/>
  <c r="J43" i="58"/>
  <c r="F46" i="58"/>
  <c r="R47" i="58"/>
  <c r="F49" i="58"/>
  <c r="V49" i="58"/>
  <c r="R50" i="58"/>
  <c r="J51" i="58"/>
  <c r="F54" i="58"/>
  <c r="F58" i="58"/>
  <c r="J61" i="58"/>
  <c r="F62" i="58"/>
  <c r="R63" i="58"/>
  <c r="J65" i="58"/>
  <c r="F66" i="58"/>
  <c r="J69" i="58"/>
  <c r="V73" i="58"/>
  <c r="F77" i="58"/>
  <c r="V77" i="58"/>
  <c r="V79" i="58"/>
  <c r="F84" i="58"/>
  <c r="V84" i="58"/>
  <c r="N12" i="59"/>
  <c r="J14" i="59"/>
  <c r="R16" i="59"/>
  <c r="R21" i="59"/>
  <c r="J24" i="59"/>
  <c r="V28" i="59"/>
  <c r="V32" i="59"/>
  <c r="R33" i="59"/>
  <c r="J36" i="59"/>
  <c r="F37" i="59"/>
  <c r="F41" i="59"/>
  <c r="R42" i="59"/>
  <c r="J44" i="59"/>
  <c r="V48" i="59"/>
  <c r="R49" i="59"/>
  <c r="F52" i="59"/>
  <c r="V52" i="59"/>
  <c r="R53" i="59"/>
  <c r="V56" i="59"/>
  <c r="F61" i="59"/>
  <c r="R62" i="59"/>
  <c r="L16" i="60"/>
  <c r="R19" i="60"/>
  <c r="F22" i="60"/>
  <c r="R26" i="60"/>
  <c r="F29" i="60"/>
  <c r="R30" i="60"/>
  <c r="J33" i="60"/>
  <c r="F34" i="60"/>
  <c r="R38" i="60"/>
  <c r="J45" i="60"/>
  <c r="F46" i="60"/>
  <c r="J49" i="60"/>
  <c r="J53" i="60"/>
  <c r="J57" i="60"/>
  <c r="R59" i="60"/>
  <c r="J63" i="60"/>
  <c r="R66" i="60"/>
  <c r="J36" i="61"/>
  <c r="J24" i="61"/>
  <c r="J14" i="61"/>
  <c r="N12" i="61"/>
  <c r="J64" i="61"/>
  <c r="J57" i="61"/>
  <c r="J49" i="61"/>
  <c r="J43" i="61"/>
  <c r="J35" i="61"/>
  <c r="J52" i="61"/>
  <c r="J46" i="61"/>
  <c r="J40" i="61"/>
  <c r="J45" i="61"/>
  <c r="J61" i="61"/>
  <c r="J55" i="61"/>
  <c r="J51" i="61"/>
  <c r="J39" i="61"/>
  <c r="J31" i="61"/>
  <c r="J27" i="61"/>
  <c r="J50" i="61"/>
  <c r="J59" i="61"/>
  <c r="J53" i="61"/>
  <c r="J47" i="61"/>
  <c r="J41" i="61"/>
  <c r="D16" i="61"/>
  <c r="V16" i="61"/>
  <c r="J26" i="61"/>
  <c r="F33" i="61"/>
  <c r="V36" i="61"/>
  <c r="F40" i="61"/>
  <c r="J42" i="61"/>
  <c r="N16" i="58"/>
  <c r="J22" i="58"/>
  <c r="F23" i="58"/>
  <c r="V26" i="58"/>
  <c r="R27" i="58"/>
  <c r="F30" i="58"/>
  <c r="V30" i="58"/>
  <c r="R31" i="58"/>
  <c r="J34" i="58"/>
  <c r="F35" i="58"/>
  <c r="V38" i="58"/>
  <c r="R39" i="58"/>
  <c r="V42" i="58"/>
  <c r="J46" i="58"/>
  <c r="V50" i="58"/>
  <c r="J54" i="58"/>
  <c r="F55" i="58"/>
  <c r="J58" i="58"/>
  <c r="F59" i="58"/>
  <c r="R60" i="58"/>
  <c r="J62" i="58"/>
  <c r="J66" i="58"/>
  <c r="F67" i="58"/>
  <c r="R68" i="58"/>
  <c r="F70" i="58"/>
  <c r="V70" i="58"/>
  <c r="R71" i="58"/>
  <c r="J72" i="58"/>
  <c r="J19" i="59"/>
  <c r="V21" i="59"/>
  <c r="R22" i="59"/>
  <c r="J25" i="59"/>
  <c r="F26" i="59"/>
  <c r="F30" i="59"/>
  <c r="V33" i="59"/>
  <c r="R34" i="59"/>
  <c r="J37" i="59"/>
  <c r="F38" i="59"/>
  <c r="J41" i="59"/>
  <c r="F45" i="59"/>
  <c r="V45" i="59"/>
  <c r="R46" i="59"/>
  <c r="J47" i="59"/>
  <c r="V49" i="59"/>
  <c r="R50" i="59"/>
  <c r="V53" i="59"/>
  <c r="R54" i="59"/>
  <c r="J55" i="59"/>
  <c r="F58" i="59"/>
  <c r="J61" i="59"/>
  <c r="J65" i="59"/>
  <c r="R67" i="59"/>
  <c r="J71" i="59"/>
  <c r="R74" i="59"/>
  <c r="F14" i="60"/>
  <c r="N16" i="60"/>
  <c r="J22" i="60"/>
  <c r="F23" i="60"/>
  <c r="V26" i="60"/>
  <c r="R27" i="60"/>
  <c r="V30" i="60"/>
  <c r="R31" i="60"/>
  <c r="J34" i="60"/>
  <c r="F35" i="60"/>
  <c r="V38" i="60"/>
  <c r="R39" i="60"/>
  <c r="J40" i="60"/>
  <c r="F43" i="60"/>
  <c r="R44" i="60"/>
  <c r="J46" i="60"/>
  <c r="F47" i="60"/>
  <c r="R48" i="60"/>
  <c r="F50" i="60"/>
  <c r="V50" i="60"/>
  <c r="R51" i="60"/>
  <c r="F54" i="60"/>
  <c r="V54" i="60"/>
  <c r="R55" i="60"/>
  <c r="R61" i="60"/>
  <c r="L12" i="61"/>
  <c r="F16" i="61"/>
  <c r="R19" i="61"/>
  <c r="R22" i="61"/>
  <c r="J29" i="61"/>
  <c r="F30" i="61"/>
  <c r="J33" i="61"/>
  <c r="F38" i="61"/>
  <c r="F39" i="61"/>
  <c r="N40" i="61"/>
  <c r="L40" i="61"/>
  <c r="N32" i="63"/>
  <c r="L12" i="58"/>
  <c r="P16" i="58"/>
  <c r="F18" i="58"/>
  <c r="R18" i="58"/>
  <c r="F19" i="58"/>
  <c r="V19" i="58"/>
  <c r="R20" i="58"/>
  <c r="J23" i="58"/>
  <c r="F24" i="58"/>
  <c r="V27" i="58"/>
  <c r="R28" i="58"/>
  <c r="V31" i="58"/>
  <c r="R32" i="58"/>
  <c r="J35" i="58"/>
  <c r="F36" i="58"/>
  <c r="V39" i="58"/>
  <c r="R40" i="58"/>
  <c r="J41" i="58"/>
  <c r="F44" i="58"/>
  <c r="R45" i="58"/>
  <c r="F47" i="58"/>
  <c r="V47" i="58"/>
  <c r="R48" i="58"/>
  <c r="J49" i="58"/>
  <c r="F52" i="58"/>
  <c r="R53" i="58"/>
  <c r="J55" i="58"/>
  <c r="F56" i="58"/>
  <c r="R57" i="58"/>
  <c r="J59" i="58"/>
  <c r="F63" i="58"/>
  <c r="V63" i="58"/>
  <c r="R64" i="58"/>
  <c r="J67" i="58"/>
  <c r="V71" i="58"/>
  <c r="R75" i="58"/>
  <c r="J77" i="58"/>
  <c r="R81" i="58"/>
  <c r="J84" i="58"/>
  <c r="V16" i="59"/>
  <c r="J18" i="59"/>
  <c r="V18" i="59"/>
  <c r="V22" i="59"/>
  <c r="R23" i="59"/>
  <c r="J26" i="59"/>
  <c r="F27" i="59"/>
  <c r="J30" i="59"/>
  <c r="F31" i="59"/>
  <c r="V34" i="59"/>
  <c r="R35" i="59"/>
  <c r="J38" i="59"/>
  <c r="F39" i="59"/>
  <c r="R40" i="59"/>
  <c r="F42" i="59"/>
  <c r="V42" i="59"/>
  <c r="R43" i="59"/>
  <c r="V46" i="59"/>
  <c r="V50" i="59"/>
  <c r="R51" i="59"/>
  <c r="J52" i="59"/>
  <c r="V54" i="59"/>
  <c r="J58" i="59"/>
  <c r="F59" i="59"/>
  <c r="R60" i="59"/>
  <c r="F62" i="59"/>
  <c r="V62" i="59"/>
  <c r="R63" i="59"/>
  <c r="D67" i="59"/>
  <c r="R69" i="59"/>
  <c r="L12" i="60"/>
  <c r="P16" i="60"/>
  <c r="F18" i="60"/>
  <c r="R18" i="60"/>
  <c r="F19" i="60"/>
  <c r="R20" i="60"/>
  <c r="J23" i="60"/>
  <c r="F24" i="60"/>
  <c r="R28" i="60"/>
  <c r="J29" i="60"/>
  <c r="R32" i="60"/>
  <c r="J35" i="60"/>
  <c r="F36" i="60"/>
  <c r="V39" i="60"/>
  <c r="J43" i="60"/>
  <c r="J47" i="60"/>
  <c r="V51" i="60"/>
  <c r="R52" i="60"/>
  <c r="V55" i="60"/>
  <c r="F59" i="60"/>
  <c r="V59" i="60"/>
  <c r="V61" i="60"/>
  <c r="F66" i="60"/>
  <c r="V66" i="60"/>
  <c r="R45" i="61"/>
  <c r="R42" i="61"/>
  <c r="R33" i="61"/>
  <c r="R21" i="61"/>
  <c r="R16" i="61"/>
  <c r="R61" i="61"/>
  <c r="R55" i="61"/>
  <c r="R48" i="61"/>
  <c r="R32" i="61"/>
  <c r="R51" i="61"/>
  <c r="R44" i="61"/>
  <c r="R39" i="61"/>
  <c r="R50" i="61"/>
  <c r="R47" i="61"/>
  <c r="R64" i="61"/>
  <c r="R57" i="61"/>
  <c r="R49" i="61"/>
  <c r="R36" i="61"/>
  <c r="R29" i="61"/>
  <c r="R52" i="61"/>
  <c r="R46" i="61"/>
  <c r="H16" i="61"/>
  <c r="R20" i="61"/>
  <c r="V21" i="61"/>
  <c r="V22" i="61"/>
  <c r="R23" i="61"/>
  <c r="R24" i="61"/>
  <c r="R25" i="61"/>
  <c r="R27" i="61"/>
  <c r="R28" i="61"/>
  <c r="J30" i="61"/>
  <c r="F31" i="61"/>
  <c r="J32" i="61"/>
  <c r="R34" i="61"/>
  <c r="R35" i="61"/>
  <c r="J38" i="61"/>
  <c r="V41" i="61"/>
  <c r="R43" i="61"/>
  <c r="N12" i="58"/>
  <c r="J14" i="58"/>
  <c r="R16" i="58"/>
  <c r="V20" i="58"/>
  <c r="R21" i="58"/>
  <c r="J24" i="58"/>
  <c r="F25" i="58"/>
  <c r="V28" i="58"/>
  <c r="R29" i="58"/>
  <c r="J30" i="58"/>
  <c r="V32" i="58"/>
  <c r="R33" i="58"/>
  <c r="J36" i="58"/>
  <c r="F37" i="58"/>
  <c r="V40" i="58"/>
  <c r="J44" i="58"/>
  <c r="V48" i="58"/>
  <c r="J52" i="58"/>
  <c r="J56" i="58"/>
  <c r="F60" i="58"/>
  <c r="V60" i="58"/>
  <c r="R61" i="58"/>
  <c r="V64" i="58"/>
  <c r="R65" i="58"/>
  <c r="F68" i="58"/>
  <c r="V68" i="58"/>
  <c r="R69" i="58"/>
  <c r="J70" i="58"/>
  <c r="F73" i="58"/>
  <c r="F79" i="58"/>
  <c r="X12" i="59"/>
  <c r="H16" i="59"/>
  <c r="L16" i="59" s="1"/>
  <c r="V23" i="59"/>
  <c r="R24" i="59"/>
  <c r="J27" i="59"/>
  <c r="F28" i="59"/>
  <c r="R29" i="59"/>
  <c r="J31" i="59"/>
  <c r="F32" i="59"/>
  <c r="V35" i="59"/>
  <c r="R36" i="59"/>
  <c r="J39" i="59"/>
  <c r="V43" i="59"/>
  <c r="R44" i="59"/>
  <c r="J45" i="59"/>
  <c r="F48" i="59"/>
  <c r="V51" i="59"/>
  <c r="F56" i="59"/>
  <c r="R57" i="59"/>
  <c r="J59" i="59"/>
  <c r="V63" i="59"/>
  <c r="F67" i="59"/>
  <c r="V67" i="59"/>
  <c r="V69" i="59"/>
  <c r="F74" i="59"/>
  <c r="V74" i="59"/>
  <c r="R16" i="60"/>
  <c r="R21" i="60"/>
  <c r="F25" i="60"/>
  <c r="R33" i="60"/>
  <c r="J36" i="60"/>
  <c r="F37" i="60"/>
  <c r="F41" i="60"/>
  <c r="R42" i="60"/>
  <c r="F44" i="60"/>
  <c r="V44" i="60"/>
  <c r="R45" i="60"/>
  <c r="F48" i="60"/>
  <c r="V48" i="60"/>
  <c r="R49" i="60"/>
  <c r="J50" i="60"/>
  <c r="V52" i="60"/>
  <c r="R53" i="60"/>
  <c r="J54" i="60"/>
  <c r="V48" i="61"/>
  <c r="V44" i="61"/>
  <c r="V32" i="61"/>
  <c r="V28" i="61"/>
  <c r="V20" i="61"/>
  <c r="V51" i="61"/>
  <c r="V47" i="61"/>
  <c r="V39" i="61"/>
  <c r="V50" i="61"/>
  <c r="V38" i="61"/>
  <c r="V64" i="61"/>
  <c r="V59" i="61"/>
  <c r="V57" i="61"/>
  <c r="V53" i="61"/>
  <c r="V49" i="61"/>
  <c r="V43" i="61"/>
  <c r="V35" i="61"/>
  <c r="V46" i="61"/>
  <c r="V61" i="61"/>
  <c r="V55" i="61"/>
  <c r="V45" i="61"/>
  <c r="F19" i="61"/>
  <c r="V19" i="61"/>
  <c r="V23" i="61"/>
  <c r="V24" i="61"/>
  <c r="V25" i="61"/>
  <c r="R26" i="61"/>
  <c r="V27" i="61"/>
  <c r="V33" i="61"/>
  <c r="V34" i="61"/>
  <c r="J37" i="61"/>
  <c r="R40" i="61"/>
  <c r="J48" i="61"/>
  <c r="Z49" i="61"/>
  <c r="L14" i="62"/>
  <c r="N87" i="62"/>
  <c r="Z32" i="63"/>
  <c r="V32" i="63"/>
  <c r="J19" i="58"/>
  <c r="R22" i="58"/>
  <c r="J25" i="58"/>
  <c r="F26" i="58"/>
  <c r="V29" i="58"/>
  <c r="V33" i="58"/>
  <c r="R34" i="58"/>
  <c r="J37" i="58"/>
  <c r="F38" i="58"/>
  <c r="F42" i="58"/>
  <c r="R43" i="58"/>
  <c r="F45" i="58"/>
  <c r="V45" i="58"/>
  <c r="R46" i="58"/>
  <c r="J47" i="58"/>
  <c r="F50" i="58"/>
  <c r="R51" i="58"/>
  <c r="F53" i="58"/>
  <c r="V53" i="58"/>
  <c r="R54" i="58"/>
  <c r="F57" i="58"/>
  <c r="V57" i="58"/>
  <c r="R58" i="58"/>
  <c r="V61" i="58"/>
  <c r="R62" i="58"/>
  <c r="J63" i="58"/>
  <c r="V65" i="58"/>
  <c r="R66" i="58"/>
  <c r="V69" i="58"/>
  <c r="J73" i="58"/>
  <c r="F75" i="58"/>
  <c r="V75" i="58"/>
  <c r="J79" i="58"/>
  <c r="F81" i="58"/>
  <c r="V81" i="58"/>
  <c r="J16" i="59"/>
  <c r="J20" i="59"/>
  <c r="R25" i="59"/>
  <c r="J28" i="59"/>
  <c r="J32" i="59"/>
  <c r="R37" i="59"/>
  <c r="V40" i="59"/>
  <c r="R41" i="59"/>
  <c r="J42" i="59"/>
  <c r="V44" i="59"/>
  <c r="J48" i="59"/>
  <c r="F49" i="59"/>
  <c r="F53" i="59"/>
  <c r="J56" i="59"/>
  <c r="F60" i="59"/>
  <c r="V60" i="59"/>
  <c r="R61" i="59"/>
  <c r="J62" i="59"/>
  <c r="R22" i="60"/>
  <c r="F26" i="60"/>
  <c r="F30" i="60"/>
  <c r="R34" i="60"/>
  <c r="J37" i="60"/>
  <c r="F38" i="60"/>
  <c r="J41" i="60"/>
  <c r="R46" i="60"/>
  <c r="V49" i="60"/>
  <c r="V53" i="60"/>
  <c r="R57" i="60"/>
  <c r="J59" i="60"/>
  <c r="R63" i="60"/>
  <c r="J66" i="60"/>
  <c r="X12" i="61"/>
  <c r="R18" i="61"/>
  <c r="V26" i="61"/>
  <c r="F45" i="61"/>
  <c r="R59" i="61"/>
  <c r="N14" i="62"/>
  <c r="H17" i="62"/>
  <c r="F16" i="58"/>
  <c r="V16" i="58"/>
  <c r="J18" i="58"/>
  <c r="V18" i="58"/>
  <c r="V22" i="58"/>
  <c r="R23" i="58"/>
  <c r="J26" i="58"/>
  <c r="F27" i="58"/>
  <c r="F31" i="58"/>
  <c r="V34" i="58"/>
  <c r="R35" i="58"/>
  <c r="J38" i="58"/>
  <c r="F39" i="58"/>
  <c r="J42" i="58"/>
  <c r="V46" i="58"/>
  <c r="J50" i="58"/>
  <c r="V54" i="58"/>
  <c r="R55" i="58"/>
  <c r="V58" i="58"/>
  <c r="R59" i="58"/>
  <c r="J60" i="58"/>
  <c r="V62" i="58"/>
  <c r="R67" i="58"/>
  <c r="R19" i="59"/>
  <c r="J21" i="59"/>
  <c r="F22" i="59"/>
  <c r="V25" i="59"/>
  <c r="R26" i="59"/>
  <c r="F29" i="59"/>
  <c r="V29" i="59"/>
  <c r="R30" i="59"/>
  <c r="J33" i="59"/>
  <c r="F34" i="59"/>
  <c r="V37" i="59"/>
  <c r="R38" i="59"/>
  <c r="V41" i="59"/>
  <c r="F46" i="59"/>
  <c r="R47" i="59"/>
  <c r="J49" i="59"/>
  <c r="F50" i="59"/>
  <c r="J53" i="59"/>
  <c r="F54" i="59"/>
  <c r="R55" i="59"/>
  <c r="V57" i="59"/>
  <c r="R58" i="59"/>
  <c r="R65" i="59"/>
  <c r="J67" i="59"/>
  <c r="F16" i="60"/>
  <c r="V16" i="60"/>
  <c r="J18" i="60"/>
  <c r="V18" i="60"/>
  <c r="V22" i="60"/>
  <c r="R23" i="60"/>
  <c r="J26" i="60"/>
  <c r="F27" i="60"/>
  <c r="J30" i="60"/>
  <c r="F31" i="60"/>
  <c r="V34" i="60"/>
  <c r="R35" i="60"/>
  <c r="J38" i="60"/>
  <c r="F39" i="60"/>
  <c r="R40" i="60"/>
  <c r="F42" i="60"/>
  <c r="V42" i="60"/>
  <c r="R43" i="60"/>
  <c r="J44" i="60"/>
  <c r="F51" i="60"/>
  <c r="F55" i="60"/>
  <c r="Z12" i="61"/>
  <c r="F18" i="61"/>
  <c r="J19" i="61"/>
  <c r="V29" i="61"/>
  <c r="R30" i="61"/>
  <c r="R31" i="61"/>
  <c r="R37" i="61"/>
  <c r="R38" i="61"/>
  <c r="V40" i="61"/>
  <c r="V42" i="61"/>
  <c r="X17" i="62"/>
  <c r="F21" i="62"/>
  <c r="V24" i="62"/>
  <c r="R25" i="62"/>
  <c r="F29" i="62"/>
  <c r="J32" i="62"/>
  <c r="F33" i="62"/>
  <c r="V36" i="62"/>
  <c r="R37" i="62"/>
  <c r="J40" i="62"/>
  <c r="F41" i="62"/>
  <c r="R42" i="62"/>
  <c r="F44" i="62"/>
  <c r="V44" i="62"/>
  <c r="R45" i="62"/>
  <c r="J46" i="62"/>
  <c r="F49" i="62"/>
  <c r="J52" i="62"/>
  <c r="F53" i="62"/>
  <c r="R54" i="62"/>
  <c r="F56" i="62"/>
  <c r="V56" i="62"/>
  <c r="R57" i="62"/>
  <c r="J58" i="62"/>
  <c r="F61" i="62"/>
  <c r="R62" i="62"/>
  <c r="F64" i="62"/>
  <c r="V64" i="62"/>
  <c r="R65" i="62"/>
  <c r="J66" i="62"/>
  <c r="F69" i="62"/>
  <c r="R70" i="62"/>
  <c r="J72" i="62"/>
  <c r="F73" i="62"/>
  <c r="J76" i="62"/>
  <c r="F77" i="62"/>
  <c r="R78" i="62"/>
  <c r="F80" i="62"/>
  <c r="V80" i="62"/>
  <c r="R81" i="62"/>
  <c r="J84" i="62"/>
  <c r="F85" i="62"/>
  <c r="J88" i="62"/>
  <c r="V92" i="62"/>
  <c r="R93" i="62"/>
  <c r="J94" i="62"/>
  <c r="P97" i="62"/>
  <c r="X97" i="62" s="1"/>
  <c r="Z97" i="62" s="1"/>
  <c r="F98" i="62"/>
  <c r="R99" i="62"/>
  <c r="F103" i="62"/>
  <c r="J35" i="63"/>
  <c r="J47" i="63"/>
  <c r="J59" i="63"/>
  <c r="J65" i="63"/>
  <c r="J71" i="63"/>
  <c r="V75" i="63"/>
  <c r="J77" i="63"/>
  <c r="V79" i="63"/>
  <c r="V83" i="63"/>
  <c r="V87" i="63"/>
  <c r="V89" i="63"/>
  <c r="F22" i="62"/>
  <c r="V25" i="62"/>
  <c r="R26" i="62"/>
  <c r="F30" i="62"/>
  <c r="R31" i="62"/>
  <c r="F34" i="62"/>
  <c r="V37" i="62"/>
  <c r="R38" i="62"/>
  <c r="J41" i="62"/>
  <c r="V45" i="62"/>
  <c r="J49" i="62"/>
  <c r="F50" i="62"/>
  <c r="R51" i="62"/>
  <c r="J53" i="62"/>
  <c r="V57" i="62"/>
  <c r="J61" i="62"/>
  <c r="V65" i="62"/>
  <c r="J69" i="62"/>
  <c r="J73" i="62"/>
  <c r="F74" i="62"/>
  <c r="R75" i="62"/>
  <c r="J77" i="62"/>
  <c r="V81" i="62"/>
  <c r="R82" i="62"/>
  <c r="J85" i="62"/>
  <c r="F86" i="62"/>
  <c r="R87" i="62"/>
  <c r="F89" i="62"/>
  <c r="V89" i="62"/>
  <c r="R90" i="62"/>
  <c r="J91" i="62"/>
  <c r="V93" i="62"/>
  <c r="R97" i="62"/>
  <c r="J98" i="62"/>
  <c r="V99" i="62"/>
  <c r="J103" i="62"/>
  <c r="F105" i="62"/>
  <c r="V105" i="62"/>
  <c r="J36" i="63"/>
  <c r="J48" i="63"/>
  <c r="J54" i="63"/>
  <c r="V60" i="63"/>
  <c r="V64" i="63"/>
  <c r="J68" i="63"/>
  <c r="V72" i="63"/>
  <c r="V76" i="63"/>
  <c r="V80" i="63"/>
  <c r="J82" i="63"/>
  <c r="F14" i="62"/>
  <c r="V14" i="62"/>
  <c r="R15" i="62"/>
  <c r="R20" i="62"/>
  <c r="J22" i="62"/>
  <c r="F23" i="62"/>
  <c r="V26" i="62"/>
  <c r="R27" i="62"/>
  <c r="J30" i="62"/>
  <c r="J34" i="62"/>
  <c r="F35" i="62"/>
  <c r="V38" i="62"/>
  <c r="R39" i="62"/>
  <c r="F42" i="62"/>
  <c r="V42" i="62"/>
  <c r="R43" i="62"/>
  <c r="J44" i="62"/>
  <c r="F47" i="62"/>
  <c r="R48" i="62"/>
  <c r="J50" i="62"/>
  <c r="F54" i="62"/>
  <c r="V54" i="62"/>
  <c r="R55" i="62"/>
  <c r="J56" i="62"/>
  <c r="F59" i="62"/>
  <c r="R60" i="62"/>
  <c r="F62" i="62"/>
  <c r="V62" i="62"/>
  <c r="R63" i="62"/>
  <c r="J64" i="62"/>
  <c r="F67" i="62"/>
  <c r="R68" i="62"/>
  <c r="F70" i="62"/>
  <c r="V70" i="62"/>
  <c r="R71" i="62"/>
  <c r="J74" i="62"/>
  <c r="F78" i="62"/>
  <c r="V78" i="62"/>
  <c r="R79" i="62"/>
  <c r="J80" i="62"/>
  <c r="V82" i="62"/>
  <c r="R83" i="62"/>
  <c r="J86" i="62"/>
  <c r="X89" i="62"/>
  <c r="Z89" i="62" s="1"/>
  <c r="V90" i="62"/>
  <c r="L91" i="62"/>
  <c r="N91" i="62" s="1"/>
  <c r="F95" i="62"/>
  <c r="D12" i="63"/>
  <c r="L18" i="63"/>
  <c r="N18" i="63" s="1"/>
  <c r="J25" i="63"/>
  <c r="V33" i="63"/>
  <c r="J37" i="63"/>
  <c r="J43" i="63"/>
  <c r="J49" i="63"/>
  <c r="L54" i="63"/>
  <c r="N54" i="63" s="1"/>
  <c r="J57" i="63"/>
  <c r="X60" i="63"/>
  <c r="V61" i="63"/>
  <c r="J63" i="63"/>
  <c r="V69" i="63"/>
  <c r="X72" i="63"/>
  <c r="V73" i="63"/>
  <c r="J75" i="63"/>
  <c r="V81" i="63"/>
  <c r="L82" i="63"/>
  <c r="N82" i="63" s="1"/>
  <c r="F54" i="64"/>
  <c r="F51" i="64"/>
  <c r="F47" i="64"/>
  <c r="F27" i="64"/>
  <c r="F18" i="64"/>
  <c r="F57" i="64"/>
  <c r="F43" i="64"/>
  <c r="F40" i="64"/>
  <c r="F35" i="64"/>
  <c r="F32" i="64"/>
  <c r="F61" i="64"/>
  <c r="F55" i="64"/>
  <c r="F46" i="64"/>
  <c r="F49" i="64"/>
  <c r="F42" i="64"/>
  <c r="F37" i="64"/>
  <c r="F34" i="64"/>
  <c r="F25" i="64"/>
  <c r="F24" i="64"/>
  <c r="F52" i="64"/>
  <c r="F45" i="64"/>
  <c r="F28" i="64"/>
  <c r="F48" i="64"/>
  <c r="F44" i="64"/>
  <c r="F39" i="64"/>
  <c r="F36" i="64"/>
  <c r="F31" i="64"/>
  <c r="D22" i="64"/>
  <c r="N24" i="64"/>
  <c r="J32" i="64"/>
  <c r="J46" i="64"/>
  <c r="T93" i="65"/>
  <c r="V93" i="65" s="1"/>
  <c r="L34" i="65"/>
  <c r="Z67" i="65"/>
  <c r="N69" i="65"/>
  <c r="Z87" i="65"/>
  <c r="Z83" i="67"/>
  <c r="N92" i="67"/>
  <c r="J23" i="62"/>
  <c r="F24" i="62"/>
  <c r="V27" i="62"/>
  <c r="R28" i="62"/>
  <c r="F31" i="62"/>
  <c r="V31" i="62"/>
  <c r="R32" i="62"/>
  <c r="J35" i="62"/>
  <c r="F36" i="62"/>
  <c r="V39" i="62"/>
  <c r="R40" i="62"/>
  <c r="V43" i="62"/>
  <c r="J47" i="62"/>
  <c r="F51" i="62"/>
  <c r="V51" i="62"/>
  <c r="R52" i="62"/>
  <c r="V55" i="62"/>
  <c r="J59" i="62"/>
  <c r="V63" i="62"/>
  <c r="J67" i="62"/>
  <c r="V71" i="62"/>
  <c r="R72" i="62"/>
  <c r="F75" i="62"/>
  <c r="V75" i="62"/>
  <c r="R76" i="62"/>
  <c r="V79" i="62"/>
  <c r="V83" i="62"/>
  <c r="R84" i="62"/>
  <c r="F87" i="62"/>
  <c r="V87" i="62"/>
  <c r="R88" i="62"/>
  <c r="J89" i="62"/>
  <c r="F92" i="62"/>
  <c r="J95" i="62"/>
  <c r="F97" i="62"/>
  <c r="V97" i="62"/>
  <c r="F99" i="62"/>
  <c r="R101" i="62"/>
  <c r="J105" i="62"/>
  <c r="R108" i="62"/>
  <c r="J26" i="63"/>
  <c r="J38" i="63"/>
  <c r="J50" i="63"/>
  <c r="V58" i="63"/>
  <c r="J60" i="63"/>
  <c r="V62" i="63"/>
  <c r="J66" i="63"/>
  <c r="V70" i="63"/>
  <c r="J72" i="63"/>
  <c r="V74" i="63"/>
  <c r="J78" i="63"/>
  <c r="J50" i="64"/>
  <c r="J38" i="64"/>
  <c r="J30" i="64"/>
  <c r="J26" i="64"/>
  <c r="J22" i="64"/>
  <c r="J61" i="64"/>
  <c r="J55" i="64"/>
  <c r="J49" i="64"/>
  <c r="J37" i="64"/>
  <c r="J25" i="64"/>
  <c r="J52" i="64"/>
  <c r="J42" i="64"/>
  <c r="J34" i="64"/>
  <c r="J28" i="64"/>
  <c r="J66" i="64"/>
  <c r="J59" i="64"/>
  <c r="J45" i="64"/>
  <c r="J39" i="64"/>
  <c r="J31" i="64"/>
  <c r="J54" i="64"/>
  <c r="J48" i="64"/>
  <c r="J44" i="64"/>
  <c r="J36" i="64"/>
  <c r="J51" i="64"/>
  <c r="J47" i="64"/>
  <c r="J41" i="64"/>
  <c r="J33" i="64"/>
  <c r="J27" i="64"/>
  <c r="L13" i="64"/>
  <c r="F20" i="64"/>
  <c r="X33" i="64"/>
  <c r="F38" i="64"/>
  <c r="L43" i="64"/>
  <c r="L33" i="65"/>
  <c r="N33" i="65" s="1"/>
  <c r="N34" i="65"/>
  <c r="Z64" i="67"/>
  <c r="F19" i="62"/>
  <c r="F20" i="62"/>
  <c r="F25" i="62"/>
  <c r="V28" i="62"/>
  <c r="R29" i="62"/>
  <c r="V32" i="62"/>
  <c r="R33" i="62"/>
  <c r="F37" i="62"/>
  <c r="V40" i="62"/>
  <c r="R41" i="62"/>
  <c r="J42" i="62"/>
  <c r="F45" i="62"/>
  <c r="R46" i="62"/>
  <c r="F48" i="62"/>
  <c r="V48" i="62"/>
  <c r="R49" i="62"/>
  <c r="V52" i="62"/>
  <c r="R53" i="62"/>
  <c r="J54" i="62"/>
  <c r="F57" i="62"/>
  <c r="R58" i="62"/>
  <c r="F60" i="62"/>
  <c r="V60" i="62"/>
  <c r="R61" i="62"/>
  <c r="J62" i="62"/>
  <c r="F65" i="62"/>
  <c r="R66" i="62"/>
  <c r="F68" i="62"/>
  <c r="V68" i="62"/>
  <c r="R69" i="62"/>
  <c r="J70" i="62"/>
  <c r="V72" i="62"/>
  <c r="R73" i="62"/>
  <c r="V76" i="62"/>
  <c r="R77" i="62"/>
  <c r="J78" i="62"/>
  <c r="F81" i="62"/>
  <c r="V84" i="62"/>
  <c r="R85" i="62"/>
  <c r="V88" i="62"/>
  <c r="J92" i="62"/>
  <c r="F93" i="62"/>
  <c r="R94" i="62"/>
  <c r="J99" i="62"/>
  <c r="R103" i="62"/>
  <c r="J33" i="63"/>
  <c r="J39" i="63"/>
  <c r="J51" i="63"/>
  <c r="J55" i="63"/>
  <c r="V67" i="63"/>
  <c r="J69" i="63"/>
  <c r="V71" i="63"/>
  <c r="J79" i="63"/>
  <c r="J83" i="63"/>
  <c r="V85" i="63"/>
  <c r="J89" i="63"/>
  <c r="F50" i="64"/>
  <c r="L42" i="67"/>
  <c r="N42" i="67" s="1"/>
  <c r="R17" i="62"/>
  <c r="V21" i="62"/>
  <c r="R22" i="62"/>
  <c r="F26" i="62"/>
  <c r="V29" i="62"/>
  <c r="R30" i="62"/>
  <c r="J31" i="62"/>
  <c r="V33" i="62"/>
  <c r="R34" i="62"/>
  <c r="J37" i="62"/>
  <c r="F38" i="62"/>
  <c r="V41" i="62"/>
  <c r="J45" i="62"/>
  <c r="V49" i="62"/>
  <c r="R50" i="62"/>
  <c r="J51" i="62"/>
  <c r="V53" i="62"/>
  <c r="J57" i="62"/>
  <c r="V61" i="62"/>
  <c r="J65" i="62"/>
  <c r="V69" i="62"/>
  <c r="V73" i="62"/>
  <c r="R74" i="62"/>
  <c r="J75" i="62"/>
  <c r="V77" i="62"/>
  <c r="J81" i="62"/>
  <c r="F82" i="62"/>
  <c r="V85" i="62"/>
  <c r="R86" i="62"/>
  <c r="J87" i="62"/>
  <c r="F90" i="62"/>
  <c r="R91" i="62"/>
  <c r="J93" i="62"/>
  <c r="J97" i="62"/>
  <c r="R98" i="62"/>
  <c r="F101" i="62"/>
  <c r="V101" i="62"/>
  <c r="V103" i="62"/>
  <c r="F108" i="62"/>
  <c r="V108" i="62"/>
  <c r="J28" i="63"/>
  <c r="V30" i="63"/>
  <c r="J32" i="63"/>
  <c r="J40" i="63"/>
  <c r="J44" i="63"/>
  <c r="J52" i="63"/>
  <c r="V56" i="63"/>
  <c r="J58" i="63"/>
  <c r="J64" i="63"/>
  <c r="V68" i="63"/>
  <c r="J76" i="63"/>
  <c r="J80" i="63"/>
  <c r="N22" i="64"/>
  <c r="F30" i="64"/>
  <c r="J43" i="64"/>
  <c r="H63" i="64"/>
  <c r="D12" i="65"/>
  <c r="X16" i="65"/>
  <c r="P12" i="65"/>
  <c r="Z60" i="65"/>
  <c r="N71" i="65"/>
  <c r="L78" i="65"/>
  <c r="N78" i="65"/>
  <c r="J42" i="67"/>
  <c r="L52" i="61"/>
  <c r="F15" i="62"/>
  <c r="D17" i="62"/>
  <c r="T17" i="62"/>
  <c r="J20" i="62"/>
  <c r="V22" i="62"/>
  <c r="R23" i="62"/>
  <c r="J26" i="62"/>
  <c r="F27" i="62"/>
  <c r="V30" i="62"/>
  <c r="V34" i="62"/>
  <c r="R35" i="62"/>
  <c r="J38" i="62"/>
  <c r="F39" i="62"/>
  <c r="F43" i="62"/>
  <c r="R44" i="62"/>
  <c r="F46" i="62"/>
  <c r="V46" i="62"/>
  <c r="R47" i="62"/>
  <c r="J48" i="62"/>
  <c r="V50" i="62"/>
  <c r="F55" i="62"/>
  <c r="R56" i="62"/>
  <c r="F58" i="62"/>
  <c r="V58" i="62"/>
  <c r="R59" i="62"/>
  <c r="J60" i="62"/>
  <c r="F63" i="62"/>
  <c r="R64" i="62"/>
  <c r="F66" i="62"/>
  <c r="V66" i="62"/>
  <c r="R67" i="62"/>
  <c r="J68" i="62"/>
  <c r="F71" i="62"/>
  <c r="V74" i="62"/>
  <c r="F79" i="62"/>
  <c r="R80" i="62"/>
  <c r="J82" i="62"/>
  <c r="F83" i="62"/>
  <c r="V86" i="62"/>
  <c r="J90" i="62"/>
  <c r="F94" i="62"/>
  <c r="V94" i="62"/>
  <c r="R95" i="62"/>
  <c r="V98" i="62"/>
  <c r="P12" i="63"/>
  <c r="J21" i="63"/>
  <c r="V25" i="63"/>
  <c r="H30" i="63"/>
  <c r="V37" i="63"/>
  <c r="J41" i="63"/>
  <c r="J45" i="63"/>
  <c r="V49" i="63"/>
  <c r="J53" i="63"/>
  <c r="V57" i="63"/>
  <c r="J61" i="63"/>
  <c r="V65" i="63"/>
  <c r="J67" i="63"/>
  <c r="J73" i="63"/>
  <c r="V77" i="63"/>
  <c r="J81" i="63"/>
  <c r="J85" i="63"/>
  <c r="P12" i="64"/>
  <c r="F29" i="64"/>
  <c r="F53" i="64"/>
  <c r="J63" i="64"/>
  <c r="J85" i="65"/>
  <c r="J75" i="65"/>
  <c r="J71" i="65"/>
  <c r="J65" i="65"/>
  <c r="J57" i="65"/>
  <c r="J53" i="65"/>
  <c r="J41" i="65"/>
  <c r="J33" i="65"/>
  <c r="J29" i="65"/>
  <c r="J21" i="65"/>
  <c r="J91" i="65"/>
  <c r="J78" i="65"/>
  <c r="J68" i="65"/>
  <c r="J62" i="65"/>
  <c r="J88" i="65"/>
  <c r="J84" i="65"/>
  <c r="J74" i="65"/>
  <c r="J70" i="65"/>
  <c r="J64" i="65"/>
  <c r="J56" i="65"/>
  <c r="J50" i="65"/>
  <c r="J38" i="65"/>
  <c r="J26" i="65"/>
  <c r="J95" i="65"/>
  <c r="J90" i="65"/>
  <c r="J77" i="65"/>
  <c r="J73" i="65"/>
  <c r="J67" i="65"/>
  <c r="J61" i="65"/>
  <c r="J49" i="65"/>
  <c r="J37" i="65"/>
  <c r="J25" i="65"/>
  <c r="J19" i="65"/>
  <c r="J80" i="65"/>
  <c r="J76" i="65"/>
  <c r="J72" i="65"/>
  <c r="J58" i="65"/>
  <c r="J48" i="65"/>
  <c r="J44" i="65"/>
  <c r="J36" i="65"/>
  <c r="J24" i="65"/>
  <c r="J87" i="65"/>
  <c r="J83" i="65"/>
  <c r="J79" i="65"/>
  <c r="J69" i="65"/>
  <c r="J63" i="65"/>
  <c r="J55" i="65"/>
  <c r="J47" i="65"/>
  <c r="J43" i="65"/>
  <c r="J35" i="65"/>
  <c r="J23" i="65"/>
  <c r="J89" i="65"/>
  <c r="J82" i="65"/>
  <c r="J66" i="65"/>
  <c r="J60" i="65"/>
  <c r="J54" i="65"/>
  <c r="J46" i="65"/>
  <c r="J42" i="65"/>
  <c r="H31" i="65"/>
  <c r="J22" i="65"/>
  <c r="J27" i="65"/>
  <c r="X33" i="65"/>
  <c r="Z33" i="65" s="1"/>
  <c r="J39" i="65"/>
  <c r="V60" i="65"/>
  <c r="N62" i="65"/>
  <c r="J81" i="65"/>
  <c r="Z19" i="67"/>
  <c r="X42" i="67"/>
  <c r="X12" i="62"/>
  <c r="J15" i="62"/>
  <c r="F17" i="62"/>
  <c r="V17" i="62"/>
  <c r="J19" i="62"/>
  <c r="V19" i="62"/>
  <c r="V23" i="62"/>
  <c r="R24" i="62"/>
  <c r="J27" i="62"/>
  <c r="F28" i="62"/>
  <c r="F32" i="62"/>
  <c r="V35" i="62"/>
  <c r="R36" i="62"/>
  <c r="J39" i="62"/>
  <c r="F40" i="62"/>
  <c r="J43" i="62"/>
  <c r="V47" i="62"/>
  <c r="F52" i="62"/>
  <c r="J55" i="62"/>
  <c r="V59" i="62"/>
  <c r="J63" i="62"/>
  <c r="V67" i="62"/>
  <c r="J71" i="62"/>
  <c r="F72" i="62"/>
  <c r="F76" i="62"/>
  <c r="J79" i="62"/>
  <c r="J83" i="62"/>
  <c r="F84" i="62"/>
  <c r="F88" i="62"/>
  <c r="R89" i="62"/>
  <c r="V91" i="62"/>
  <c r="R92" i="62"/>
  <c r="J101" i="62"/>
  <c r="V18" i="63"/>
  <c r="J22" i="63"/>
  <c r="V26" i="63"/>
  <c r="J30" i="63"/>
  <c r="J34" i="63"/>
  <c r="V38" i="63"/>
  <c r="J42" i="63"/>
  <c r="J46" i="63"/>
  <c r="V50" i="63"/>
  <c r="V54" i="63"/>
  <c r="J56" i="63"/>
  <c r="J62" i="63"/>
  <c r="V66" i="63"/>
  <c r="J70" i="63"/>
  <c r="V78" i="63"/>
  <c r="V82" i="63"/>
  <c r="X18" i="64"/>
  <c r="Z24" i="64"/>
  <c r="J29" i="64"/>
  <c r="J35" i="64"/>
  <c r="F41" i="64"/>
  <c r="J53" i="64"/>
  <c r="J45" i="65"/>
  <c r="J52" i="65"/>
  <c r="V42" i="67"/>
  <c r="Z42" i="67"/>
  <c r="V19" i="64"/>
  <c r="V31" i="64"/>
  <c r="V39" i="64"/>
  <c r="V55" i="64"/>
  <c r="V59" i="64"/>
  <c r="V61" i="64"/>
  <c r="V66" i="64"/>
  <c r="V26" i="65"/>
  <c r="V38" i="65"/>
  <c r="V50" i="65"/>
  <c r="V58" i="65"/>
  <c r="X69" i="65"/>
  <c r="Z69" i="65" s="1"/>
  <c r="V70" i="65"/>
  <c r="L71" i="65"/>
  <c r="V74" i="65"/>
  <c r="L75" i="65"/>
  <c r="N75" i="65" s="1"/>
  <c r="V90" i="65"/>
  <c r="V108" i="67"/>
  <c r="V104" i="67"/>
  <c r="V99" i="67"/>
  <c r="V110" i="67"/>
  <c r="V98" i="67"/>
  <c r="V100" i="67"/>
  <c r="V96" i="67"/>
  <c r="V109" i="67"/>
  <c r="V103" i="67"/>
  <c r="V114" i="67"/>
  <c r="V102" i="67"/>
  <c r="V105" i="67"/>
  <c r="X19" i="67"/>
  <c r="V20" i="67"/>
  <c r="J24" i="67"/>
  <c r="V28" i="67"/>
  <c r="J32" i="67"/>
  <c r="V36" i="67"/>
  <c r="J44" i="67"/>
  <c r="V48" i="67"/>
  <c r="J52" i="67"/>
  <c r="J56" i="67"/>
  <c r="V60" i="67"/>
  <c r="V64" i="67"/>
  <c r="J66" i="67"/>
  <c r="Z66" i="67"/>
  <c r="N68" i="67"/>
  <c r="V72" i="67"/>
  <c r="J74" i="67"/>
  <c r="J80" i="67"/>
  <c r="X83" i="67"/>
  <c r="V84" i="67"/>
  <c r="L85" i="67"/>
  <c r="V95" i="67"/>
  <c r="V28" i="64"/>
  <c r="V32" i="64"/>
  <c r="V40" i="64"/>
  <c r="V52" i="64"/>
  <c r="V19" i="65"/>
  <c r="V27" i="65"/>
  <c r="V39" i="65"/>
  <c r="V51" i="65"/>
  <c r="V59" i="65"/>
  <c r="V67" i="65"/>
  <c r="X90" i="65"/>
  <c r="J19" i="67"/>
  <c r="V21" i="67"/>
  <c r="J25" i="67"/>
  <c r="V29" i="67"/>
  <c r="J33" i="67"/>
  <c r="V37" i="67"/>
  <c r="J45" i="67"/>
  <c r="V49" i="67"/>
  <c r="V53" i="67"/>
  <c r="J57" i="67"/>
  <c r="V61" i="67"/>
  <c r="V65" i="67"/>
  <c r="J69" i="67"/>
  <c r="V73" i="67"/>
  <c r="J77" i="67"/>
  <c r="V81" i="67"/>
  <c r="J83" i="67"/>
  <c r="J89" i="67"/>
  <c r="J93" i="67"/>
  <c r="N100" i="67"/>
  <c r="V101" i="67"/>
  <c r="N34" i="69"/>
  <c r="Z60" i="69"/>
  <c r="N62" i="69"/>
  <c r="F72" i="71"/>
  <c r="F69" i="71"/>
  <c r="F57" i="71"/>
  <c r="F68" i="71"/>
  <c r="F64" i="71"/>
  <c r="F60" i="71"/>
  <c r="F56" i="71"/>
  <c r="F51" i="71"/>
  <c r="F48" i="71"/>
  <c r="F40" i="71"/>
  <c r="F71" i="71"/>
  <c r="F67" i="71"/>
  <c r="F63" i="71"/>
  <c r="F59" i="71"/>
  <c r="F39" i="71"/>
  <c r="F75" i="71"/>
  <c r="F66" i="71"/>
  <c r="F62" i="71"/>
  <c r="F53" i="71"/>
  <c r="F50" i="71"/>
  <c r="F45" i="71"/>
  <c r="F79" i="71"/>
  <c r="F73" i="71"/>
  <c r="F37" i="71"/>
  <c r="F70" i="71"/>
  <c r="F58" i="71"/>
  <c r="F43" i="71"/>
  <c r="F35" i="71"/>
  <c r="F55" i="71"/>
  <c r="F38" i="71"/>
  <c r="F34" i="71"/>
  <c r="F26" i="71"/>
  <c r="F46" i="71"/>
  <c r="F44" i="71"/>
  <c r="F25" i="71"/>
  <c r="F16" i="71"/>
  <c r="F49" i="71"/>
  <c r="F47" i="71"/>
  <c r="F33" i="71"/>
  <c r="F32" i="71"/>
  <c r="F24" i="71"/>
  <c r="F31" i="71"/>
  <c r="F65" i="71"/>
  <c r="F52" i="71"/>
  <c r="F30" i="71"/>
  <c r="D20" i="71"/>
  <c r="F20" i="71" s="1"/>
  <c r="F18" i="71"/>
  <c r="F42" i="71"/>
  <c r="F41" i="71"/>
  <c r="F29" i="71"/>
  <c r="F17" i="71"/>
  <c r="F61" i="71"/>
  <c r="F28" i="71"/>
  <c r="F23" i="71"/>
  <c r="F22" i="71"/>
  <c r="L12" i="71"/>
  <c r="F54" i="71"/>
  <c r="F36" i="71"/>
  <c r="F27" i="71"/>
  <c r="V25" i="64"/>
  <c r="V29" i="64"/>
  <c r="V37" i="64"/>
  <c r="V49" i="64"/>
  <c r="V53" i="64"/>
  <c r="V20" i="65"/>
  <c r="V28" i="65"/>
  <c r="V40" i="65"/>
  <c r="V52" i="65"/>
  <c r="V56" i="65"/>
  <c r="V64" i="65"/>
  <c r="V68" i="65"/>
  <c r="V84" i="65"/>
  <c r="V88" i="65"/>
  <c r="V38" i="67"/>
  <c r="J46" i="67"/>
  <c r="V50" i="67"/>
  <c r="V54" i="67"/>
  <c r="J58" i="67"/>
  <c r="V62" i="67"/>
  <c r="J64" i="67"/>
  <c r="V70" i="67"/>
  <c r="J72" i="67"/>
  <c r="J78" i="67"/>
  <c r="V82" i="67"/>
  <c r="J86" i="67"/>
  <c r="J90" i="67"/>
  <c r="J95" i="67"/>
  <c r="N104" i="67"/>
  <c r="R73" i="68"/>
  <c r="R69" i="68"/>
  <c r="R65" i="68"/>
  <c r="R62" i="68"/>
  <c r="R58" i="68"/>
  <c r="R41" i="68"/>
  <c r="R29" i="68"/>
  <c r="R76" i="68"/>
  <c r="R68" i="68"/>
  <c r="R52" i="68"/>
  <c r="R49" i="68"/>
  <c r="R40" i="68"/>
  <c r="R28" i="68"/>
  <c r="R72" i="68"/>
  <c r="R67" i="68"/>
  <c r="R64" i="68"/>
  <c r="R55" i="68"/>
  <c r="R39" i="68"/>
  <c r="R35" i="68"/>
  <c r="R27" i="68"/>
  <c r="R25" i="68"/>
  <c r="P23" i="68"/>
  <c r="R54" i="68"/>
  <c r="R51" i="68"/>
  <c r="R46" i="68"/>
  <c r="R38" i="68"/>
  <c r="R34" i="68"/>
  <c r="X12" i="68"/>
  <c r="Z12" i="68" s="1"/>
  <c r="R66" i="68"/>
  <c r="R61" i="68"/>
  <c r="R57" i="68"/>
  <c r="R45" i="68"/>
  <c r="R37" i="68"/>
  <c r="R33" i="68"/>
  <c r="R26" i="68"/>
  <c r="R21" i="68"/>
  <c r="R80" i="68"/>
  <c r="R75" i="68"/>
  <c r="R60" i="68"/>
  <c r="R53" i="68"/>
  <c r="R48" i="68"/>
  <c r="R44" i="68"/>
  <c r="R32" i="68"/>
  <c r="R20" i="68"/>
  <c r="R71" i="68"/>
  <c r="R63" i="68"/>
  <c r="R59" i="68"/>
  <c r="R56" i="68"/>
  <c r="R43" i="68"/>
  <c r="R36" i="68"/>
  <c r="R31" i="68"/>
  <c r="R70" i="68"/>
  <c r="R50" i="68"/>
  <c r="R47" i="68"/>
  <c r="R42" i="68"/>
  <c r="R30" i="68"/>
  <c r="R19" i="68"/>
  <c r="T78" i="68"/>
  <c r="N51" i="68"/>
  <c r="N58" i="68"/>
  <c r="Z19" i="69"/>
  <c r="N33" i="69"/>
  <c r="V26" i="64"/>
  <c r="V30" i="64"/>
  <c r="V38" i="64"/>
  <c r="V46" i="64"/>
  <c r="V50" i="64"/>
  <c r="V29" i="65"/>
  <c r="V41" i="65"/>
  <c r="V45" i="65"/>
  <c r="V53" i="65"/>
  <c r="V57" i="65"/>
  <c r="X64" i="65"/>
  <c r="Z64" i="65" s="1"/>
  <c r="V65" i="65"/>
  <c r="V81" i="65"/>
  <c r="V85" i="65"/>
  <c r="V91" i="65"/>
  <c r="D12" i="67"/>
  <c r="V23" i="67"/>
  <c r="J27" i="67"/>
  <c r="V31" i="67"/>
  <c r="J35" i="67"/>
  <c r="V43" i="67"/>
  <c r="J47" i="67"/>
  <c r="V51" i="67"/>
  <c r="J53" i="67"/>
  <c r="V55" i="67"/>
  <c r="J59" i="67"/>
  <c r="V63" i="67"/>
  <c r="J67" i="67"/>
  <c r="V71" i="67"/>
  <c r="J75" i="67"/>
  <c r="V79" i="67"/>
  <c r="J81" i="67"/>
  <c r="J87" i="67"/>
  <c r="V94" i="67"/>
  <c r="T22" i="64"/>
  <c r="V27" i="64"/>
  <c r="V35" i="64"/>
  <c r="V43" i="64"/>
  <c r="V47" i="64"/>
  <c r="V51" i="64"/>
  <c r="V57" i="64"/>
  <c r="V63" i="64"/>
  <c r="V22" i="65"/>
  <c r="V34" i="65"/>
  <c r="V42" i="65"/>
  <c r="V46" i="65"/>
  <c r="V54" i="65"/>
  <c r="V62" i="65"/>
  <c r="V66" i="65"/>
  <c r="V78" i="65"/>
  <c r="V82" i="65"/>
  <c r="J107" i="67"/>
  <c r="J103" i="67"/>
  <c r="J114" i="67"/>
  <c r="J109" i="67"/>
  <c r="J100" i="67"/>
  <c r="J102" i="67"/>
  <c r="J108" i="67"/>
  <c r="J99" i="67"/>
  <c r="J104" i="67"/>
  <c r="J98" i="67"/>
  <c r="J94" i="67"/>
  <c r="J110" i="67"/>
  <c r="J101" i="67"/>
  <c r="J20" i="67"/>
  <c r="V24" i="67"/>
  <c r="J28" i="67"/>
  <c r="V32" i="67"/>
  <c r="J36" i="67"/>
  <c r="V44" i="67"/>
  <c r="J48" i="67"/>
  <c r="V52" i="67"/>
  <c r="V56" i="67"/>
  <c r="J60" i="67"/>
  <c r="V68" i="67"/>
  <c r="J70" i="67"/>
  <c r="V76" i="67"/>
  <c r="V80" i="67"/>
  <c r="J84" i="67"/>
  <c r="V88" i="67"/>
  <c r="V92" i="67"/>
  <c r="V93" i="67"/>
  <c r="J96" i="67"/>
  <c r="J97" i="67"/>
  <c r="Z104" i="67"/>
  <c r="N25" i="68"/>
  <c r="Z58" i="68"/>
  <c r="N62" i="68"/>
  <c r="N76" i="69"/>
  <c r="T112" i="67"/>
  <c r="V40" i="67"/>
  <c r="Z25" i="68"/>
  <c r="Z62" i="68"/>
  <c r="Z64" i="69"/>
  <c r="N73" i="69"/>
  <c r="N22" i="71"/>
  <c r="Z23" i="71"/>
  <c r="V18" i="64"/>
  <c r="V34" i="64"/>
  <c r="V42" i="64"/>
  <c r="V25" i="65"/>
  <c r="V31" i="65"/>
  <c r="V33" i="65"/>
  <c r="V37" i="65"/>
  <c r="V49" i="65"/>
  <c r="V61" i="65"/>
  <c r="V69" i="65"/>
  <c r="V73" i="65"/>
  <c r="V77" i="65"/>
  <c r="V87" i="65"/>
  <c r="V95" i="65"/>
  <c r="P12" i="67"/>
  <c r="V19" i="67"/>
  <c r="J23" i="67"/>
  <c r="V27" i="67"/>
  <c r="J31" i="67"/>
  <c r="V35" i="67"/>
  <c r="H40" i="67"/>
  <c r="V47" i="67"/>
  <c r="J51" i="67"/>
  <c r="J55" i="67"/>
  <c r="V59" i="67"/>
  <c r="J63" i="67"/>
  <c r="V67" i="67"/>
  <c r="J71" i="67"/>
  <c r="V75" i="67"/>
  <c r="V83" i="67"/>
  <c r="J85" i="67"/>
  <c r="V87" i="67"/>
  <c r="V91" i="67"/>
  <c r="V97" i="67"/>
  <c r="F72" i="68"/>
  <c r="F64" i="68"/>
  <c r="F61" i="68"/>
  <c r="F57" i="68"/>
  <c r="F45" i="68"/>
  <c r="F37" i="68"/>
  <c r="F33" i="68"/>
  <c r="D23" i="68"/>
  <c r="F23" i="68" s="1"/>
  <c r="F21" i="68"/>
  <c r="F80" i="68"/>
  <c r="F60" i="68"/>
  <c r="F51" i="68"/>
  <c r="F48" i="68"/>
  <c r="F44" i="68"/>
  <c r="F32" i="68"/>
  <c r="F20" i="68"/>
  <c r="F71" i="68"/>
  <c r="F66" i="68"/>
  <c r="F63" i="68"/>
  <c r="F59" i="68"/>
  <c r="F43" i="68"/>
  <c r="F31" i="68"/>
  <c r="F26" i="68"/>
  <c r="F25" i="68"/>
  <c r="F70" i="68"/>
  <c r="F53" i="68"/>
  <c r="F50" i="68"/>
  <c r="F42" i="68"/>
  <c r="F30" i="68"/>
  <c r="F73" i="68"/>
  <c r="F69" i="68"/>
  <c r="F65" i="68"/>
  <c r="F56" i="68"/>
  <c r="F41" i="68"/>
  <c r="F36" i="68"/>
  <c r="F29" i="68"/>
  <c r="F68" i="68"/>
  <c r="F52" i="68"/>
  <c r="F47" i="68"/>
  <c r="F40" i="68"/>
  <c r="F28" i="68"/>
  <c r="F19" i="68"/>
  <c r="F76" i="68"/>
  <c r="F67" i="68"/>
  <c r="F62" i="68"/>
  <c r="F58" i="68"/>
  <c r="F55" i="68"/>
  <c r="F39" i="68"/>
  <c r="F35" i="68"/>
  <c r="F27" i="68"/>
  <c r="F54" i="68"/>
  <c r="F49" i="68"/>
  <c r="F46" i="68"/>
  <c r="F38" i="68"/>
  <c r="F34" i="68"/>
  <c r="L12" i="68"/>
  <c r="N60" i="69"/>
  <c r="L13" i="68"/>
  <c r="N13" i="68" s="1"/>
  <c r="J21" i="68"/>
  <c r="V23" i="68"/>
  <c r="J25" i="68"/>
  <c r="V25" i="68"/>
  <c r="V29" i="68"/>
  <c r="J33" i="68"/>
  <c r="J37" i="68"/>
  <c r="V41" i="68"/>
  <c r="J45" i="68"/>
  <c r="V49" i="68"/>
  <c r="J51" i="68"/>
  <c r="J57" i="68"/>
  <c r="J61" i="68"/>
  <c r="V65" i="68"/>
  <c r="V69" i="68"/>
  <c r="V73" i="68"/>
  <c r="F20" i="69"/>
  <c r="R24" i="69"/>
  <c r="J27" i="69"/>
  <c r="F28" i="69"/>
  <c r="R36" i="69"/>
  <c r="J39" i="69"/>
  <c r="F40" i="69"/>
  <c r="V43" i="69"/>
  <c r="R44" i="69"/>
  <c r="J45" i="69"/>
  <c r="V47" i="69"/>
  <c r="R48" i="69"/>
  <c r="J51" i="69"/>
  <c r="F52" i="69"/>
  <c r="V55" i="69"/>
  <c r="J59" i="69"/>
  <c r="V63" i="69"/>
  <c r="J67" i="69"/>
  <c r="V71" i="69"/>
  <c r="R72" i="69"/>
  <c r="J73" i="69"/>
  <c r="F77" i="69"/>
  <c r="R78" i="69"/>
  <c r="V83" i="69"/>
  <c r="J68" i="71"/>
  <c r="J64" i="71"/>
  <c r="J60" i="71"/>
  <c r="J56" i="71"/>
  <c r="J48" i="71"/>
  <c r="J75" i="71"/>
  <c r="J71" i="71"/>
  <c r="J67" i="71"/>
  <c r="J63" i="71"/>
  <c r="J59" i="71"/>
  <c r="J53" i="71"/>
  <c r="J45" i="71"/>
  <c r="J39" i="71"/>
  <c r="J66" i="71"/>
  <c r="J62" i="71"/>
  <c r="J50" i="71"/>
  <c r="J38" i="71"/>
  <c r="J79" i="71"/>
  <c r="J73" i="71"/>
  <c r="J55" i="71"/>
  <c r="J47" i="71"/>
  <c r="J70" i="71"/>
  <c r="J58" i="71"/>
  <c r="J52" i="71"/>
  <c r="J44" i="71"/>
  <c r="J36" i="71"/>
  <c r="J72" i="71"/>
  <c r="J54" i="71"/>
  <c r="J46" i="71"/>
  <c r="J42" i="71"/>
  <c r="J16" i="71"/>
  <c r="J26" i="71"/>
  <c r="V30" i="71"/>
  <c r="R31" i="71"/>
  <c r="J43" i="71"/>
  <c r="R48" i="71"/>
  <c r="R56" i="71"/>
  <c r="V59" i="71"/>
  <c r="V63" i="71"/>
  <c r="V65" i="71"/>
  <c r="V73" i="71"/>
  <c r="R75" i="71"/>
  <c r="V79" i="71"/>
  <c r="N12" i="68"/>
  <c r="X15" i="68"/>
  <c r="H23" i="68"/>
  <c r="V30" i="68"/>
  <c r="J34" i="68"/>
  <c r="J38" i="68"/>
  <c r="V42" i="68"/>
  <c r="J46" i="68"/>
  <c r="V50" i="68"/>
  <c r="J54" i="68"/>
  <c r="V58" i="68"/>
  <c r="V62" i="68"/>
  <c r="J64" i="68"/>
  <c r="V70" i="68"/>
  <c r="J72" i="68"/>
  <c r="J20" i="69"/>
  <c r="F21" i="69"/>
  <c r="V24" i="69"/>
  <c r="R25" i="69"/>
  <c r="J28" i="69"/>
  <c r="F29" i="69"/>
  <c r="D31" i="69"/>
  <c r="T31" i="69"/>
  <c r="J34" i="69"/>
  <c r="V36" i="69"/>
  <c r="R37" i="69"/>
  <c r="J40" i="69"/>
  <c r="F41" i="69"/>
  <c r="V44" i="69"/>
  <c r="V48" i="69"/>
  <c r="R49" i="69"/>
  <c r="J52" i="69"/>
  <c r="F53" i="69"/>
  <c r="F57" i="69"/>
  <c r="R58" i="69"/>
  <c r="F60" i="69"/>
  <c r="V60" i="69"/>
  <c r="R61" i="69"/>
  <c r="J62" i="69"/>
  <c r="F65" i="69"/>
  <c r="R66" i="69"/>
  <c r="F68" i="69"/>
  <c r="V68" i="69"/>
  <c r="R69" i="69"/>
  <c r="J70" i="69"/>
  <c r="V72" i="69"/>
  <c r="R76" i="69"/>
  <c r="J77" i="69"/>
  <c r="V78" i="69"/>
  <c r="L13" i="71"/>
  <c r="N13" i="71" s="1"/>
  <c r="P20" i="71"/>
  <c r="R22" i="71"/>
  <c r="V23" i="71"/>
  <c r="R24" i="71"/>
  <c r="J27" i="71"/>
  <c r="V31" i="71"/>
  <c r="V32" i="71"/>
  <c r="R33" i="71"/>
  <c r="J34" i="71"/>
  <c r="J35" i="71"/>
  <c r="V44" i="71"/>
  <c r="R47" i="71"/>
  <c r="N58" i="71"/>
  <c r="R68" i="71"/>
  <c r="L72" i="71"/>
  <c r="D29" i="72"/>
  <c r="Z62" i="73"/>
  <c r="N64" i="73"/>
  <c r="N85" i="74"/>
  <c r="V19" i="68"/>
  <c r="J23" i="68"/>
  <c r="J27" i="68"/>
  <c r="V31" i="68"/>
  <c r="J35" i="68"/>
  <c r="J39" i="68"/>
  <c r="V43" i="68"/>
  <c r="V47" i="68"/>
  <c r="J49" i="68"/>
  <c r="J55" i="68"/>
  <c r="V59" i="68"/>
  <c r="V63" i="68"/>
  <c r="J67" i="68"/>
  <c r="V71" i="68"/>
  <c r="J76" i="68"/>
  <c r="L12" i="69"/>
  <c r="N12" i="69" s="1"/>
  <c r="R19" i="69"/>
  <c r="J21" i="69"/>
  <c r="F22" i="69"/>
  <c r="V25" i="69"/>
  <c r="R26" i="69"/>
  <c r="J29" i="69"/>
  <c r="V31" i="69"/>
  <c r="J33" i="69"/>
  <c r="V33" i="69"/>
  <c r="V37" i="69"/>
  <c r="R38" i="69"/>
  <c r="J41" i="69"/>
  <c r="F42" i="69"/>
  <c r="F46" i="69"/>
  <c r="V49" i="69"/>
  <c r="R50" i="69"/>
  <c r="J53" i="69"/>
  <c r="F54" i="69"/>
  <c r="J57" i="69"/>
  <c r="V61" i="69"/>
  <c r="J65" i="69"/>
  <c r="V69" i="69"/>
  <c r="F74" i="69"/>
  <c r="D76" i="69"/>
  <c r="L76" i="69" s="1"/>
  <c r="N12" i="71"/>
  <c r="V24" i="71"/>
  <c r="R25" i="71"/>
  <c r="J28" i="71"/>
  <c r="V33" i="71"/>
  <c r="R37" i="71"/>
  <c r="R38" i="71"/>
  <c r="V49" i="71"/>
  <c r="X14" i="72"/>
  <c r="P12" i="72"/>
  <c r="H25" i="72"/>
  <c r="L25" i="72" s="1"/>
  <c r="F83" i="73"/>
  <c r="F75" i="73"/>
  <c r="F71" i="73"/>
  <c r="F67" i="73"/>
  <c r="F63" i="73"/>
  <c r="F58" i="73"/>
  <c r="F55" i="73"/>
  <c r="F43" i="73"/>
  <c r="F35" i="73"/>
  <c r="F31" i="73"/>
  <c r="D21" i="73"/>
  <c r="F19" i="73"/>
  <c r="F87" i="73"/>
  <c r="F74" i="73"/>
  <c r="F70" i="73"/>
  <c r="F66" i="73"/>
  <c r="F49" i="73"/>
  <c r="F46" i="73"/>
  <c r="F42" i="73"/>
  <c r="F30" i="73"/>
  <c r="F18" i="73"/>
  <c r="F91" i="73"/>
  <c r="F85" i="73"/>
  <c r="F73" i="73"/>
  <c r="F69" i="73"/>
  <c r="F65" i="73"/>
  <c r="F60" i="73"/>
  <c r="F57" i="73"/>
  <c r="F41" i="73"/>
  <c r="F29" i="73"/>
  <c r="F24" i="73"/>
  <c r="F23" i="73"/>
  <c r="F17" i="73"/>
  <c r="F79" i="73"/>
  <c r="F51" i="73"/>
  <c r="F48" i="73"/>
  <c r="F40" i="73"/>
  <c r="F28" i="73"/>
  <c r="L12" i="73"/>
  <c r="F82" i="73"/>
  <c r="F62" i="73"/>
  <c r="F59" i="73"/>
  <c r="F54" i="73"/>
  <c r="F39" i="73"/>
  <c r="F34" i="73"/>
  <c r="F27" i="73"/>
  <c r="F84" i="73"/>
  <c r="F81" i="73"/>
  <c r="F77" i="73"/>
  <c r="F72" i="73"/>
  <c r="F68" i="73"/>
  <c r="F64" i="73"/>
  <c r="F61" i="73"/>
  <c r="F56" i="73"/>
  <c r="F53" i="73"/>
  <c r="F37" i="73"/>
  <c r="F33" i="73"/>
  <c r="F25" i="73"/>
  <c r="F16" i="73"/>
  <c r="F80" i="73"/>
  <c r="F76" i="73"/>
  <c r="F52" i="73"/>
  <c r="F47" i="73"/>
  <c r="F44" i="73"/>
  <c r="F36" i="73"/>
  <c r="F32" i="73"/>
  <c r="F21" i="73"/>
  <c r="L16" i="73"/>
  <c r="Z23" i="73"/>
  <c r="F50" i="73"/>
  <c r="X14" i="74"/>
  <c r="P12" i="74"/>
  <c r="D107" i="67"/>
  <c r="L107" i="67" s="1"/>
  <c r="N107" i="67" s="1"/>
  <c r="V20" i="68"/>
  <c r="J28" i="68"/>
  <c r="V32" i="68"/>
  <c r="V36" i="68"/>
  <c r="J40" i="68"/>
  <c r="V44" i="68"/>
  <c r="V48" i="68"/>
  <c r="J52" i="68"/>
  <c r="V56" i="68"/>
  <c r="J58" i="68"/>
  <c r="V60" i="68"/>
  <c r="J62" i="68"/>
  <c r="J68" i="68"/>
  <c r="D75" i="68"/>
  <c r="L75" i="68" s="1"/>
  <c r="V78" i="68"/>
  <c r="V80" i="68"/>
  <c r="J22" i="69"/>
  <c r="F23" i="69"/>
  <c r="R27" i="69"/>
  <c r="H31" i="69"/>
  <c r="F35" i="69"/>
  <c r="V38" i="69"/>
  <c r="R39" i="69"/>
  <c r="J42" i="69"/>
  <c r="F43" i="69"/>
  <c r="J46" i="69"/>
  <c r="F47" i="69"/>
  <c r="V50" i="69"/>
  <c r="R51" i="69"/>
  <c r="J54" i="69"/>
  <c r="F55" i="69"/>
  <c r="R56" i="69"/>
  <c r="F58" i="69"/>
  <c r="V58" i="69"/>
  <c r="R59" i="69"/>
  <c r="J60" i="69"/>
  <c r="F63" i="69"/>
  <c r="R64" i="69"/>
  <c r="F66" i="69"/>
  <c r="V66" i="69"/>
  <c r="R67" i="69"/>
  <c r="J68" i="69"/>
  <c r="F71" i="69"/>
  <c r="J74" i="69"/>
  <c r="F76" i="69"/>
  <c r="V76" i="69"/>
  <c r="F78" i="69"/>
  <c r="R79" i="69"/>
  <c r="F83" i="69"/>
  <c r="R79" i="71"/>
  <c r="R73" i="71"/>
  <c r="R70" i="71"/>
  <c r="R58" i="71"/>
  <c r="R65" i="71"/>
  <c r="R61" i="71"/>
  <c r="R52" i="71"/>
  <c r="R49" i="71"/>
  <c r="R44" i="71"/>
  <c r="R36" i="71"/>
  <c r="R32" i="71"/>
  <c r="R72" i="71"/>
  <c r="R43" i="71"/>
  <c r="R54" i="71"/>
  <c r="R51" i="71"/>
  <c r="R46" i="71"/>
  <c r="R69" i="71"/>
  <c r="R57" i="71"/>
  <c r="R41" i="71"/>
  <c r="R34" i="71"/>
  <c r="R71" i="71"/>
  <c r="R67" i="71"/>
  <c r="R63" i="71"/>
  <c r="R59" i="71"/>
  <c r="R39" i="71"/>
  <c r="J17" i="71"/>
  <c r="T20" i="71"/>
  <c r="J23" i="71"/>
  <c r="V25" i="71"/>
  <c r="R26" i="71"/>
  <c r="J29" i="71"/>
  <c r="V36" i="71"/>
  <c r="V37" i="71"/>
  <c r="J40" i="71"/>
  <c r="J41" i="71"/>
  <c r="V47" i="71"/>
  <c r="R55" i="71"/>
  <c r="J57" i="71"/>
  <c r="Z58" i="71"/>
  <c r="J61" i="71"/>
  <c r="R62" i="71"/>
  <c r="V67" i="71"/>
  <c r="L70" i="71"/>
  <c r="Z72" i="71"/>
  <c r="L23" i="72"/>
  <c r="N16" i="73"/>
  <c r="X54" i="73"/>
  <c r="Z64" i="73"/>
  <c r="X82" i="73"/>
  <c r="L84" i="73"/>
  <c r="F85" i="74"/>
  <c r="F78" i="74"/>
  <c r="F74" i="74"/>
  <c r="F65" i="74"/>
  <c r="F62" i="74"/>
  <c r="F42" i="74"/>
  <c r="F37" i="74"/>
  <c r="F30" i="74"/>
  <c r="F81" i="74"/>
  <c r="F77" i="74"/>
  <c r="F56" i="74"/>
  <c r="F53" i="74"/>
  <c r="F48" i="74"/>
  <c r="F41" i="74"/>
  <c r="F29" i="74"/>
  <c r="F84" i="74"/>
  <c r="F67" i="74"/>
  <c r="F64" i="74"/>
  <c r="F59" i="74"/>
  <c r="F40" i="74"/>
  <c r="F36" i="74"/>
  <c r="F28" i="74"/>
  <c r="F88" i="74"/>
  <c r="F83" i="74"/>
  <c r="F70" i="74"/>
  <c r="F55" i="74"/>
  <c r="F50" i="74"/>
  <c r="F47" i="74"/>
  <c r="F39" i="74"/>
  <c r="F35" i="74"/>
  <c r="F24" i="74"/>
  <c r="F18" i="74"/>
  <c r="F86" i="74"/>
  <c r="F73" i="74"/>
  <c r="F66" i="74"/>
  <c r="F61" i="74"/>
  <c r="F58" i="74"/>
  <c r="F46" i="74"/>
  <c r="F38" i="74"/>
  <c r="F34" i="74"/>
  <c r="D24" i="74"/>
  <c r="F22" i="74"/>
  <c r="F92" i="74"/>
  <c r="F72" i="74"/>
  <c r="F68" i="74"/>
  <c r="F63" i="74"/>
  <c r="F60" i="74"/>
  <c r="F44" i="74"/>
  <c r="F32" i="74"/>
  <c r="F27" i="74"/>
  <c r="F26" i="74"/>
  <c r="F20" i="74"/>
  <c r="L12" i="74"/>
  <c r="N12" i="74" s="1"/>
  <c r="F82" i="74"/>
  <c r="F79" i="74"/>
  <c r="F75" i="74"/>
  <c r="F71" i="74"/>
  <c r="F54" i="74"/>
  <c r="F51" i="74"/>
  <c r="F43" i="74"/>
  <c r="F31" i="74"/>
  <c r="F19" i="74"/>
  <c r="L27" i="74"/>
  <c r="N27" i="74" s="1"/>
  <c r="F76" i="74"/>
  <c r="J29" i="68"/>
  <c r="V33" i="68"/>
  <c r="V37" i="68"/>
  <c r="J41" i="68"/>
  <c r="V45" i="68"/>
  <c r="J47" i="68"/>
  <c r="V53" i="68"/>
  <c r="V57" i="68"/>
  <c r="V61" i="68"/>
  <c r="J65" i="68"/>
  <c r="J69" i="68"/>
  <c r="J73" i="68"/>
  <c r="V75" i="68"/>
  <c r="F19" i="69"/>
  <c r="R20" i="69"/>
  <c r="J23" i="69"/>
  <c r="F24" i="69"/>
  <c r="R28" i="69"/>
  <c r="J35" i="69"/>
  <c r="F36" i="69"/>
  <c r="V39" i="69"/>
  <c r="R40" i="69"/>
  <c r="J43" i="69"/>
  <c r="F44" i="69"/>
  <c r="R45" i="69"/>
  <c r="J47" i="69"/>
  <c r="F48" i="69"/>
  <c r="V51" i="69"/>
  <c r="R52" i="69"/>
  <c r="J55" i="69"/>
  <c r="V59" i="69"/>
  <c r="J63" i="69"/>
  <c r="V67" i="69"/>
  <c r="J71" i="69"/>
  <c r="F72" i="69"/>
  <c r="R73" i="69"/>
  <c r="J78" i="69"/>
  <c r="V79" i="69"/>
  <c r="J83" i="69"/>
  <c r="V72" i="71"/>
  <c r="V52" i="71"/>
  <c r="V51" i="71"/>
  <c r="V43" i="71"/>
  <c r="V35" i="71"/>
  <c r="V54" i="71"/>
  <c r="V46" i="71"/>
  <c r="V42" i="71"/>
  <c r="V75" i="71"/>
  <c r="V69" i="71"/>
  <c r="V57" i="71"/>
  <c r="V53" i="71"/>
  <c r="V45" i="71"/>
  <c r="V68" i="71"/>
  <c r="V64" i="71"/>
  <c r="V60" i="71"/>
  <c r="V56" i="71"/>
  <c r="V48" i="71"/>
  <c r="V40" i="71"/>
  <c r="V70" i="71"/>
  <c r="V66" i="71"/>
  <c r="V62" i="71"/>
  <c r="V58" i="71"/>
  <c r="V50" i="71"/>
  <c r="V38" i="71"/>
  <c r="R16" i="71"/>
  <c r="J18" i="71"/>
  <c r="V20" i="71"/>
  <c r="J22" i="71"/>
  <c r="V22" i="71"/>
  <c r="V26" i="71"/>
  <c r="R27" i="71"/>
  <c r="J30" i="71"/>
  <c r="R35" i="71"/>
  <c r="R42" i="71"/>
  <c r="J51" i="71"/>
  <c r="R53" i="71"/>
  <c r="N70" i="71"/>
  <c r="Z54" i="73"/>
  <c r="F78" i="73"/>
  <c r="F57" i="74"/>
  <c r="V26" i="68"/>
  <c r="J30" i="68"/>
  <c r="V34" i="68"/>
  <c r="J36" i="68"/>
  <c r="V38" i="68"/>
  <c r="J42" i="68"/>
  <c r="V46" i="68"/>
  <c r="J50" i="68"/>
  <c r="V54" i="68"/>
  <c r="J56" i="68"/>
  <c r="V66" i="68"/>
  <c r="J70" i="68"/>
  <c r="V20" i="69"/>
  <c r="R21" i="69"/>
  <c r="J24" i="69"/>
  <c r="F25" i="69"/>
  <c r="V28" i="69"/>
  <c r="R29" i="69"/>
  <c r="R34" i="69"/>
  <c r="J36" i="69"/>
  <c r="F37" i="69"/>
  <c r="V40" i="69"/>
  <c r="R41" i="69"/>
  <c r="J44" i="69"/>
  <c r="J48" i="69"/>
  <c r="F49" i="69"/>
  <c r="V52" i="69"/>
  <c r="R53" i="69"/>
  <c r="F56" i="69"/>
  <c r="V56" i="69"/>
  <c r="R57" i="69"/>
  <c r="J58" i="69"/>
  <c r="F61" i="69"/>
  <c r="R62" i="69"/>
  <c r="F64" i="69"/>
  <c r="V64" i="69"/>
  <c r="R65" i="69"/>
  <c r="J66" i="69"/>
  <c r="F69" i="69"/>
  <c r="R70" i="69"/>
  <c r="J72" i="69"/>
  <c r="J76" i="69"/>
  <c r="R77" i="69"/>
  <c r="X12" i="71"/>
  <c r="H20" i="71"/>
  <c r="V27" i="71"/>
  <c r="R28" i="71"/>
  <c r="J31" i="71"/>
  <c r="V55" i="71"/>
  <c r="R60" i="71"/>
  <c r="J65" i="71"/>
  <c r="R66" i="71"/>
  <c r="J69" i="71"/>
  <c r="Z34" i="73"/>
  <c r="N56" i="73"/>
  <c r="N72" i="73"/>
  <c r="N26" i="74"/>
  <c r="F49" i="74"/>
  <c r="Z61" i="74"/>
  <c r="V27" i="68"/>
  <c r="J31" i="68"/>
  <c r="V35" i="68"/>
  <c r="V39" i="68"/>
  <c r="J43" i="68"/>
  <c r="V51" i="68"/>
  <c r="J53" i="68"/>
  <c r="V55" i="68"/>
  <c r="L56" i="68"/>
  <c r="J59" i="68"/>
  <c r="J63" i="68"/>
  <c r="X66" i="68"/>
  <c r="Z66" i="68" s="1"/>
  <c r="V67" i="68"/>
  <c r="J71" i="68"/>
  <c r="J75" i="68"/>
  <c r="X12" i="69"/>
  <c r="Z12" i="69" s="1"/>
  <c r="J19" i="69"/>
  <c r="R22" i="69"/>
  <c r="J25" i="69"/>
  <c r="F26" i="69"/>
  <c r="V29" i="69"/>
  <c r="J37" i="69"/>
  <c r="F38" i="69"/>
  <c r="V41" i="69"/>
  <c r="R42" i="69"/>
  <c r="F45" i="69"/>
  <c r="V45" i="69"/>
  <c r="R46" i="69"/>
  <c r="J49" i="69"/>
  <c r="F50" i="69"/>
  <c r="V53" i="69"/>
  <c r="R54" i="69"/>
  <c r="X56" i="69"/>
  <c r="Z56" i="69" s="1"/>
  <c r="V57" i="69"/>
  <c r="L58" i="69"/>
  <c r="J61" i="69"/>
  <c r="X64" i="69"/>
  <c r="V65" i="69"/>
  <c r="L66" i="69"/>
  <c r="N66" i="69" s="1"/>
  <c r="J69" i="69"/>
  <c r="F73" i="69"/>
  <c r="V73" i="69"/>
  <c r="R74" i="69"/>
  <c r="V77" i="69"/>
  <c r="F79" i="69"/>
  <c r="Z12" i="71"/>
  <c r="V16" i="71"/>
  <c r="R17" i="71"/>
  <c r="J24" i="71"/>
  <c r="V28" i="71"/>
  <c r="R29" i="71"/>
  <c r="J32" i="71"/>
  <c r="J33" i="71"/>
  <c r="V34" i="71"/>
  <c r="R40" i="71"/>
  <c r="V41" i="71"/>
  <c r="V61" i="71"/>
  <c r="R64" i="71"/>
  <c r="Z70" i="71"/>
  <c r="Z16" i="73"/>
  <c r="L68" i="73"/>
  <c r="F69" i="74"/>
  <c r="N24" i="75"/>
  <c r="J20" i="68"/>
  <c r="J26" i="68"/>
  <c r="V28" i="68"/>
  <c r="J32" i="68"/>
  <c r="V40" i="68"/>
  <c r="J44" i="68"/>
  <c r="J48" i="68"/>
  <c r="V52" i="68"/>
  <c r="J60" i="68"/>
  <c r="V64" i="68"/>
  <c r="J66" i="68"/>
  <c r="V68" i="68"/>
  <c r="V72" i="68"/>
  <c r="V76" i="68"/>
  <c r="V22" i="69"/>
  <c r="R23" i="69"/>
  <c r="J26" i="69"/>
  <c r="F27" i="69"/>
  <c r="P31" i="69"/>
  <c r="R31" i="69" s="1"/>
  <c r="F33" i="69"/>
  <c r="R33" i="69"/>
  <c r="F34" i="69"/>
  <c r="V34" i="69"/>
  <c r="R35" i="69"/>
  <c r="J38" i="69"/>
  <c r="F39" i="69"/>
  <c r="V42" i="69"/>
  <c r="R43" i="69"/>
  <c r="V46" i="69"/>
  <c r="R47" i="69"/>
  <c r="J50" i="69"/>
  <c r="F51" i="69"/>
  <c r="V54" i="69"/>
  <c r="R55" i="69"/>
  <c r="J56" i="69"/>
  <c r="F59" i="69"/>
  <c r="R60" i="69"/>
  <c r="F62" i="69"/>
  <c r="V62" i="69"/>
  <c r="R63" i="69"/>
  <c r="J64" i="69"/>
  <c r="F67" i="69"/>
  <c r="R68" i="69"/>
  <c r="V70" i="69"/>
  <c r="R71" i="69"/>
  <c r="V17" i="71"/>
  <c r="R18" i="71"/>
  <c r="R23" i="71"/>
  <c r="J25" i="71"/>
  <c r="V29" i="71"/>
  <c r="R30" i="71"/>
  <c r="J37" i="71"/>
  <c r="V39" i="71"/>
  <c r="J49" i="71"/>
  <c r="R50" i="71"/>
  <c r="X70" i="71"/>
  <c r="V27" i="72"/>
  <c r="V21" i="72"/>
  <c r="V17" i="72"/>
  <c r="V16" i="72"/>
  <c r="V23" i="72"/>
  <c r="V19" i="72"/>
  <c r="T19" i="72"/>
  <c r="F26" i="73"/>
  <c r="F38" i="73"/>
  <c r="F45" i="73"/>
  <c r="Z56" i="73"/>
  <c r="N68" i="73"/>
  <c r="Z72" i="73"/>
  <c r="X26" i="74"/>
  <c r="Z26" i="74" s="1"/>
  <c r="F33" i="74"/>
  <c r="F45" i="74"/>
  <c r="F52" i="74"/>
  <c r="Z63" i="74"/>
  <c r="X73" i="74"/>
  <c r="Z73" i="74" s="1"/>
  <c r="V47" i="73"/>
  <c r="V59" i="73"/>
  <c r="J63" i="73"/>
  <c r="J67" i="73"/>
  <c r="J71" i="73"/>
  <c r="J75" i="73"/>
  <c r="J83" i="73"/>
  <c r="J87" i="73"/>
  <c r="J92" i="74"/>
  <c r="J30" i="74"/>
  <c r="J42" i="74"/>
  <c r="V46" i="74"/>
  <c r="J48" i="74"/>
  <c r="V54" i="74"/>
  <c r="J56" i="74"/>
  <c r="V58" i="74"/>
  <c r="J62" i="74"/>
  <c r="V66" i="74"/>
  <c r="J74" i="74"/>
  <c r="J78" i="74"/>
  <c r="V82" i="74"/>
  <c r="V86" i="74"/>
  <c r="R17" i="75"/>
  <c r="R30" i="75"/>
  <c r="R26" i="75"/>
  <c r="R24" i="75"/>
  <c r="P22" i="75"/>
  <c r="R34" i="75"/>
  <c r="R28" i="75"/>
  <c r="R25" i="75"/>
  <c r="R20" i="75"/>
  <c r="R19" i="75"/>
  <c r="R18" i="75"/>
  <c r="J17" i="72"/>
  <c r="F19" i="72"/>
  <c r="F23" i="72"/>
  <c r="J27" i="72"/>
  <c r="F29" i="72"/>
  <c r="Z12" i="73"/>
  <c r="V16" i="73"/>
  <c r="R17" i="73"/>
  <c r="H21" i="73"/>
  <c r="V28" i="73"/>
  <c r="R29" i="73"/>
  <c r="J32" i="73"/>
  <c r="R34" i="73"/>
  <c r="J36" i="73"/>
  <c r="V40" i="73"/>
  <c r="R41" i="73"/>
  <c r="J44" i="73"/>
  <c r="V48" i="73"/>
  <c r="J52" i="73"/>
  <c r="R54" i="73"/>
  <c r="V56" i="73"/>
  <c r="R57" i="73"/>
  <c r="J58" i="73"/>
  <c r="R62" i="73"/>
  <c r="V64" i="73"/>
  <c r="R65" i="73"/>
  <c r="V68" i="73"/>
  <c r="R69" i="73"/>
  <c r="V72" i="73"/>
  <c r="R73" i="73"/>
  <c r="J76" i="73"/>
  <c r="J80" i="73"/>
  <c r="R82" i="73"/>
  <c r="V84" i="73"/>
  <c r="R85" i="73"/>
  <c r="R91" i="73"/>
  <c r="L13" i="74"/>
  <c r="N13" i="74" s="1"/>
  <c r="J19" i="74"/>
  <c r="V27" i="74"/>
  <c r="J31" i="74"/>
  <c r="V35" i="74"/>
  <c r="J37" i="74"/>
  <c r="V39" i="74"/>
  <c r="J43" i="74"/>
  <c r="V47" i="74"/>
  <c r="J51" i="74"/>
  <c r="V55" i="74"/>
  <c r="V63" i="74"/>
  <c r="J65" i="74"/>
  <c r="J71" i="74"/>
  <c r="J75" i="74"/>
  <c r="J79" i="74"/>
  <c r="V83" i="74"/>
  <c r="J85" i="74"/>
  <c r="N25" i="76"/>
  <c r="J25" i="76"/>
  <c r="J19" i="72"/>
  <c r="J23" i="72"/>
  <c r="J16" i="73"/>
  <c r="V18" i="73"/>
  <c r="R19" i="73"/>
  <c r="R24" i="73"/>
  <c r="J26" i="73"/>
  <c r="V30" i="73"/>
  <c r="R31" i="73"/>
  <c r="V34" i="73"/>
  <c r="R35" i="73"/>
  <c r="J38" i="73"/>
  <c r="V42" i="73"/>
  <c r="R43" i="73"/>
  <c r="V46" i="73"/>
  <c r="J50" i="73"/>
  <c r="V54" i="73"/>
  <c r="R55" i="73"/>
  <c r="J56" i="73"/>
  <c r="R60" i="73"/>
  <c r="V62" i="73"/>
  <c r="R63" i="73"/>
  <c r="J64" i="73"/>
  <c r="V66" i="73"/>
  <c r="R67" i="73"/>
  <c r="J68" i="73"/>
  <c r="V70" i="73"/>
  <c r="R71" i="73"/>
  <c r="J72" i="73"/>
  <c r="V74" i="73"/>
  <c r="R75" i="73"/>
  <c r="J78" i="73"/>
  <c r="V82" i="73"/>
  <c r="R83" i="73"/>
  <c r="J84" i="73"/>
  <c r="J21" i="74"/>
  <c r="T24" i="74"/>
  <c r="J27" i="74"/>
  <c r="V29" i="74"/>
  <c r="J33" i="74"/>
  <c r="V41" i="74"/>
  <c r="J45" i="74"/>
  <c r="J49" i="74"/>
  <c r="V53" i="74"/>
  <c r="J57" i="74"/>
  <c r="V61" i="74"/>
  <c r="J63" i="74"/>
  <c r="J69" i="74"/>
  <c r="V73" i="74"/>
  <c r="V77" i="74"/>
  <c r="Z17" i="75"/>
  <c r="Z25" i="76"/>
  <c r="N60" i="76"/>
  <c r="L19" i="72"/>
  <c r="N19" i="72" s="1"/>
  <c r="V19" i="73"/>
  <c r="J27" i="73"/>
  <c r="V31" i="73"/>
  <c r="R32" i="73"/>
  <c r="V35" i="73"/>
  <c r="R36" i="73"/>
  <c r="J39" i="73"/>
  <c r="V43" i="73"/>
  <c r="R44" i="73"/>
  <c r="J45" i="73"/>
  <c r="R49" i="73"/>
  <c r="V51" i="73"/>
  <c r="R52" i="73"/>
  <c r="V55" i="73"/>
  <c r="J59" i="73"/>
  <c r="V63" i="73"/>
  <c r="V67" i="73"/>
  <c r="V71" i="73"/>
  <c r="V75" i="73"/>
  <c r="R76" i="73"/>
  <c r="V79" i="73"/>
  <c r="R80" i="73"/>
  <c r="V83" i="73"/>
  <c r="R87" i="73"/>
  <c r="V92" i="74"/>
  <c r="V88" i="74"/>
  <c r="V18" i="74"/>
  <c r="J22" i="74"/>
  <c r="J26" i="74"/>
  <c r="V26" i="74"/>
  <c r="V30" i="74"/>
  <c r="J34" i="74"/>
  <c r="J38" i="74"/>
  <c r="V42" i="74"/>
  <c r="J46" i="74"/>
  <c r="V50" i="74"/>
  <c r="J52" i="74"/>
  <c r="J58" i="74"/>
  <c r="V62" i="74"/>
  <c r="J66" i="74"/>
  <c r="V70" i="74"/>
  <c r="V74" i="74"/>
  <c r="J76" i="74"/>
  <c r="V78" i="74"/>
  <c r="J80" i="74"/>
  <c r="J86" i="74"/>
  <c r="F30" i="75"/>
  <c r="F22" i="75"/>
  <c r="F34" i="75"/>
  <c r="F28" i="75"/>
  <c r="D22" i="75"/>
  <c r="F20" i="75"/>
  <c r="F19" i="75"/>
  <c r="F25" i="75"/>
  <c r="F24" i="75"/>
  <c r="F27" i="75"/>
  <c r="X25" i="75"/>
  <c r="Z25" i="75" s="1"/>
  <c r="Z18" i="76"/>
  <c r="T36" i="79"/>
  <c r="F21" i="72"/>
  <c r="F25" i="72"/>
  <c r="N12" i="73"/>
  <c r="P21" i="73"/>
  <c r="R23" i="73"/>
  <c r="V24" i="73"/>
  <c r="R25" i="73"/>
  <c r="J28" i="73"/>
  <c r="V32" i="73"/>
  <c r="R33" i="73"/>
  <c r="J34" i="73"/>
  <c r="V36" i="73"/>
  <c r="R37" i="73"/>
  <c r="J40" i="73"/>
  <c r="V44" i="73"/>
  <c r="L45" i="73"/>
  <c r="J48" i="73"/>
  <c r="V52" i="73"/>
  <c r="R53" i="73"/>
  <c r="J54" i="73"/>
  <c r="R58" i="73"/>
  <c r="V60" i="73"/>
  <c r="R61" i="73"/>
  <c r="J62" i="73"/>
  <c r="V76" i="73"/>
  <c r="R77" i="73"/>
  <c r="V80" i="73"/>
  <c r="R81" i="73"/>
  <c r="J82" i="73"/>
  <c r="V19" i="74"/>
  <c r="H24" i="74"/>
  <c r="V31" i="74"/>
  <c r="J35" i="74"/>
  <c r="J39" i="74"/>
  <c r="V43" i="74"/>
  <c r="J47" i="74"/>
  <c r="V51" i="74"/>
  <c r="J55" i="74"/>
  <c r="V59" i="74"/>
  <c r="J61" i="74"/>
  <c r="V67" i="74"/>
  <c r="V71" i="74"/>
  <c r="J73" i="74"/>
  <c r="V75" i="74"/>
  <c r="V79" i="74"/>
  <c r="L80" i="74"/>
  <c r="N80" i="74" s="1"/>
  <c r="J83" i="74"/>
  <c r="L13" i="75"/>
  <c r="N13" i="75" s="1"/>
  <c r="Z24" i="75"/>
  <c r="Z36" i="76"/>
  <c r="J17" i="73"/>
  <c r="R21" i="73"/>
  <c r="V25" i="73"/>
  <c r="R26" i="73"/>
  <c r="J29" i="73"/>
  <c r="V33" i="73"/>
  <c r="V37" i="73"/>
  <c r="R38" i="73"/>
  <c r="J41" i="73"/>
  <c r="R47" i="73"/>
  <c r="V49" i="73"/>
  <c r="R50" i="73"/>
  <c r="J51" i="73"/>
  <c r="V53" i="73"/>
  <c r="J57" i="73"/>
  <c r="V61" i="73"/>
  <c r="J65" i="73"/>
  <c r="J69" i="73"/>
  <c r="J73" i="73"/>
  <c r="V77" i="73"/>
  <c r="R78" i="73"/>
  <c r="J79" i="73"/>
  <c r="V81" i="73"/>
  <c r="J85" i="73"/>
  <c r="V87" i="73"/>
  <c r="J91" i="73"/>
  <c r="J18" i="74"/>
  <c r="V20" i="74"/>
  <c r="J24" i="74"/>
  <c r="J28" i="74"/>
  <c r="V32" i="74"/>
  <c r="J36" i="74"/>
  <c r="J40" i="74"/>
  <c r="V44" i="74"/>
  <c r="V48" i="74"/>
  <c r="J50" i="74"/>
  <c r="V56" i="74"/>
  <c r="V60" i="74"/>
  <c r="J64" i="74"/>
  <c r="V68" i="74"/>
  <c r="J70" i="74"/>
  <c r="V72" i="74"/>
  <c r="J84" i="74"/>
  <c r="J88" i="74"/>
  <c r="J34" i="75"/>
  <c r="J28" i="75"/>
  <c r="J24" i="75"/>
  <c r="J20" i="75"/>
  <c r="J25" i="75"/>
  <c r="J19" i="75"/>
  <c r="J18" i="75"/>
  <c r="J27" i="75"/>
  <c r="J17" i="75"/>
  <c r="J30" i="75"/>
  <c r="J26" i="75"/>
  <c r="J22" i="75"/>
  <c r="F17" i="75"/>
  <c r="F18" i="75"/>
  <c r="H22" i="75"/>
  <c r="F26" i="75"/>
  <c r="R27" i="75"/>
  <c r="T21" i="73"/>
  <c r="J24" i="73"/>
  <c r="V26" i="73"/>
  <c r="R27" i="73"/>
  <c r="J30" i="73"/>
  <c r="V38" i="73"/>
  <c r="R39" i="73"/>
  <c r="J42" i="73"/>
  <c r="J46" i="73"/>
  <c r="V50" i="73"/>
  <c r="R56" i="73"/>
  <c r="V58" i="73"/>
  <c r="R59" i="73"/>
  <c r="J60" i="73"/>
  <c r="R64" i="73"/>
  <c r="J66" i="73"/>
  <c r="R68" i="73"/>
  <c r="J70" i="73"/>
  <c r="R72" i="73"/>
  <c r="V21" i="74"/>
  <c r="J29" i="74"/>
  <c r="V33" i="74"/>
  <c r="V37" i="74"/>
  <c r="J41" i="74"/>
  <c r="V45" i="74"/>
  <c r="V49" i="74"/>
  <c r="J53" i="74"/>
  <c r="V57" i="74"/>
  <c r="J59" i="74"/>
  <c r="V65" i="74"/>
  <c r="J67" i="74"/>
  <c r="V69" i="74"/>
  <c r="J77" i="74"/>
  <c r="J81" i="74"/>
  <c r="V85" i="74"/>
  <c r="L12" i="75"/>
  <c r="N12" i="75" s="1"/>
  <c r="Z12" i="75"/>
  <c r="V18" i="75"/>
  <c r="J84" i="76"/>
  <c r="J74" i="76"/>
  <c r="J89" i="76"/>
  <c r="J81" i="76"/>
  <c r="J86" i="76"/>
  <c r="J80" i="76"/>
  <c r="J92" i="76"/>
  <c r="J88" i="76"/>
  <c r="J78" i="76"/>
  <c r="J85" i="76"/>
  <c r="J77" i="76"/>
  <c r="J96" i="76"/>
  <c r="J82" i="76"/>
  <c r="N18" i="76"/>
  <c r="F19" i="76"/>
  <c r="F25" i="76"/>
  <c r="F26" i="76"/>
  <c r="V26" i="76"/>
  <c r="J30" i="76"/>
  <c r="F31" i="76"/>
  <c r="V34" i="76"/>
  <c r="J36" i="76"/>
  <c r="V38" i="76"/>
  <c r="J42" i="76"/>
  <c r="F43" i="76"/>
  <c r="V46" i="76"/>
  <c r="J50" i="76"/>
  <c r="V54" i="76"/>
  <c r="J56" i="76"/>
  <c r="F59" i="76"/>
  <c r="F62" i="76"/>
  <c r="V62" i="76"/>
  <c r="V66" i="76"/>
  <c r="F70" i="76"/>
  <c r="V70" i="76"/>
  <c r="J72" i="76"/>
  <c r="V79" i="76"/>
  <c r="N82" i="76"/>
  <c r="V83" i="76"/>
  <c r="Z84" i="76"/>
  <c r="X84" i="76"/>
  <c r="N86" i="76"/>
  <c r="L86" i="76"/>
  <c r="V87" i="76"/>
  <c r="Z88" i="76"/>
  <c r="J91" i="76"/>
  <c r="T26" i="77"/>
  <c r="F29" i="78"/>
  <c r="N74" i="78"/>
  <c r="N14" i="79"/>
  <c r="L14" i="79"/>
  <c r="L18" i="79"/>
  <c r="N18" i="79" s="1"/>
  <c r="L14" i="80"/>
  <c r="V19" i="75"/>
  <c r="V27" i="75"/>
  <c r="L12" i="76"/>
  <c r="N12" i="76" s="1"/>
  <c r="F20" i="76"/>
  <c r="V27" i="76"/>
  <c r="J31" i="76"/>
  <c r="F32" i="76"/>
  <c r="V35" i="76"/>
  <c r="V39" i="76"/>
  <c r="J43" i="76"/>
  <c r="F44" i="76"/>
  <c r="F48" i="76"/>
  <c r="F51" i="76"/>
  <c r="V51" i="76"/>
  <c r="J53" i="76"/>
  <c r="V55" i="76"/>
  <c r="J59" i="76"/>
  <c r="V63" i="76"/>
  <c r="J65" i="76"/>
  <c r="V67" i="76"/>
  <c r="V71" i="76"/>
  <c r="J73" i="76"/>
  <c r="F74" i="76"/>
  <c r="V75" i="76"/>
  <c r="P16" i="77"/>
  <c r="X14" i="77"/>
  <c r="L18" i="78"/>
  <c r="N18" i="78" s="1"/>
  <c r="F54" i="78"/>
  <c r="L25" i="82"/>
  <c r="N25" i="82" s="1"/>
  <c r="N26" i="82"/>
  <c r="L26" i="82"/>
  <c r="V28" i="75"/>
  <c r="V34" i="75"/>
  <c r="F21" i="76"/>
  <c r="D23" i="76"/>
  <c r="F23" i="76" s="1"/>
  <c r="T94" i="76"/>
  <c r="V94" i="76" s="1"/>
  <c r="J26" i="76"/>
  <c r="V28" i="76"/>
  <c r="J32" i="76"/>
  <c r="F33" i="76"/>
  <c r="F37" i="76"/>
  <c r="V40" i="76"/>
  <c r="J44" i="76"/>
  <c r="F45" i="76"/>
  <c r="J48" i="76"/>
  <c r="V52" i="76"/>
  <c r="F57" i="76"/>
  <c r="F60" i="76"/>
  <c r="V60" i="76"/>
  <c r="J62" i="76"/>
  <c r="V64" i="76"/>
  <c r="V68" i="76"/>
  <c r="J70" i="76"/>
  <c r="Z86" i="76"/>
  <c r="F34" i="78"/>
  <c r="F46" i="78"/>
  <c r="F49" i="78"/>
  <c r="X26" i="80"/>
  <c r="L18" i="81"/>
  <c r="V25" i="75"/>
  <c r="P12" i="76"/>
  <c r="V23" i="76"/>
  <c r="V25" i="76"/>
  <c r="V29" i="76"/>
  <c r="F34" i="76"/>
  <c r="F38" i="76"/>
  <c r="V41" i="76"/>
  <c r="J45" i="76"/>
  <c r="F46" i="76"/>
  <c r="F49" i="76"/>
  <c r="V49" i="76"/>
  <c r="J51" i="76"/>
  <c r="F54" i="76"/>
  <c r="J57" i="76"/>
  <c r="V61" i="76"/>
  <c r="F66" i="76"/>
  <c r="F80" i="76"/>
  <c r="Z58" i="78"/>
  <c r="X18" i="79"/>
  <c r="Z26" i="82"/>
  <c r="V26" i="75"/>
  <c r="L27" i="75"/>
  <c r="V82" i="76"/>
  <c r="V78" i="76"/>
  <c r="V91" i="76"/>
  <c r="V85" i="76"/>
  <c r="V77" i="76"/>
  <c r="V96" i="76"/>
  <c r="V84" i="76"/>
  <c r="V76" i="76"/>
  <c r="V86" i="76"/>
  <c r="V89" i="76"/>
  <c r="V81" i="76"/>
  <c r="V92" i="76"/>
  <c r="V88" i="76"/>
  <c r="V80" i="76"/>
  <c r="F18" i="76"/>
  <c r="V18" i="76"/>
  <c r="H23" i="76"/>
  <c r="F27" i="76"/>
  <c r="V30" i="76"/>
  <c r="J34" i="76"/>
  <c r="F35" i="76"/>
  <c r="J38" i="76"/>
  <c r="F39" i="76"/>
  <c r="V42" i="76"/>
  <c r="J46" i="76"/>
  <c r="V50" i="76"/>
  <c r="J54" i="76"/>
  <c r="F55" i="76"/>
  <c r="F58" i="76"/>
  <c r="V58" i="76"/>
  <c r="J60" i="76"/>
  <c r="F63" i="76"/>
  <c r="J66" i="76"/>
  <c r="F67" i="76"/>
  <c r="F71" i="76"/>
  <c r="V74" i="76"/>
  <c r="F77" i="76"/>
  <c r="L40" i="78"/>
  <c r="N40" i="78" s="1"/>
  <c r="Z18" i="82"/>
  <c r="T22" i="75"/>
  <c r="V22" i="75" s="1"/>
  <c r="V19" i="76"/>
  <c r="J27" i="76"/>
  <c r="F28" i="76"/>
  <c r="V31" i="76"/>
  <c r="J35" i="76"/>
  <c r="J39" i="76"/>
  <c r="F40" i="76"/>
  <c r="V43" i="76"/>
  <c r="F47" i="76"/>
  <c r="V47" i="76"/>
  <c r="J49" i="76"/>
  <c r="F52" i="76"/>
  <c r="J55" i="76"/>
  <c r="X58" i="76"/>
  <c r="Z58" i="76" s="1"/>
  <c r="V59" i="76"/>
  <c r="L60" i="76"/>
  <c r="J63" i="76"/>
  <c r="F64" i="76"/>
  <c r="J67" i="76"/>
  <c r="F68" i="76"/>
  <c r="J71" i="76"/>
  <c r="V72" i="76"/>
  <c r="V73" i="76"/>
  <c r="F76" i="76"/>
  <c r="J79" i="76"/>
  <c r="J83" i="76"/>
  <c r="J87" i="76"/>
  <c r="N88" i="76"/>
  <c r="D26" i="77"/>
  <c r="L16" i="79"/>
  <c r="Z18" i="79"/>
  <c r="N16" i="81"/>
  <c r="H28" i="81"/>
  <c r="L28" i="81" s="1"/>
  <c r="D32" i="81"/>
  <c r="Z25" i="82"/>
  <c r="V24" i="75"/>
  <c r="V30" i="75"/>
  <c r="V20" i="76"/>
  <c r="J28" i="76"/>
  <c r="F29" i="76"/>
  <c r="V32" i="76"/>
  <c r="F36" i="76"/>
  <c r="V36" i="76"/>
  <c r="J40" i="76"/>
  <c r="F41" i="76"/>
  <c r="V44" i="76"/>
  <c r="V48" i="76"/>
  <c r="J52" i="76"/>
  <c r="F56" i="76"/>
  <c r="V56" i="76"/>
  <c r="J58" i="76"/>
  <c r="F61" i="76"/>
  <c r="J64" i="76"/>
  <c r="J68" i="76"/>
  <c r="F69" i="76"/>
  <c r="F72" i="76"/>
  <c r="J76" i="76"/>
  <c r="H26" i="77"/>
  <c r="N16" i="77"/>
  <c r="T16" i="78"/>
  <c r="Z14" i="78"/>
  <c r="Z18" i="78"/>
  <c r="P32" i="79"/>
  <c r="X16" i="79"/>
  <c r="P28" i="80"/>
  <c r="Z18" i="80"/>
  <c r="T28" i="81"/>
  <c r="F87" i="76"/>
  <c r="F82" i="76"/>
  <c r="F75" i="76"/>
  <c r="F91" i="76"/>
  <c r="F89" i="76"/>
  <c r="F84" i="76"/>
  <c r="F81" i="76"/>
  <c r="F73" i="76"/>
  <c r="F92" i="76"/>
  <c r="F86" i="76"/>
  <c r="F83" i="76"/>
  <c r="F79" i="76"/>
  <c r="F78" i="76"/>
  <c r="F88" i="76"/>
  <c r="F85" i="76"/>
  <c r="J29" i="76"/>
  <c r="F30" i="76"/>
  <c r="V33" i="76"/>
  <c r="V37" i="76"/>
  <c r="J41" i="76"/>
  <c r="F42" i="76"/>
  <c r="V45" i="76"/>
  <c r="J47" i="76"/>
  <c r="F50" i="76"/>
  <c r="F53" i="76"/>
  <c r="V53" i="76"/>
  <c r="V57" i="76"/>
  <c r="J61" i="76"/>
  <c r="F65" i="76"/>
  <c r="V65" i="76"/>
  <c r="J69" i="76"/>
  <c r="J75" i="76"/>
  <c r="F78" i="78"/>
  <c r="F65" i="78"/>
  <c r="F40" i="78"/>
  <c r="F33" i="78"/>
  <c r="F21" i="78"/>
  <c r="F71" i="78"/>
  <c r="F68" i="78"/>
  <c r="F51" i="78"/>
  <c r="F48" i="78"/>
  <c r="F32" i="78"/>
  <c r="F28" i="78"/>
  <c r="F20" i="78"/>
  <c r="F84" i="78"/>
  <c r="F74" i="78"/>
  <c r="F62" i="78"/>
  <c r="F58" i="78"/>
  <c r="F42" i="78"/>
  <c r="F39" i="78"/>
  <c r="F31" i="78"/>
  <c r="F27" i="78"/>
  <c r="F16" i="78"/>
  <c r="F82" i="78"/>
  <c r="F70" i="78"/>
  <c r="F53" i="78"/>
  <c r="F50" i="78"/>
  <c r="F45" i="78"/>
  <c r="F38" i="78"/>
  <c r="F30" i="78"/>
  <c r="F26" i="78"/>
  <c r="D16" i="78"/>
  <c r="F73" i="78"/>
  <c r="F64" i="78"/>
  <c r="F61" i="78"/>
  <c r="F57" i="78"/>
  <c r="F41" i="78"/>
  <c r="F37" i="78"/>
  <c r="F25" i="78"/>
  <c r="F77" i="78"/>
  <c r="F72" i="78"/>
  <c r="F67" i="78"/>
  <c r="F60" i="78"/>
  <c r="F56" i="78"/>
  <c r="F52" i="78"/>
  <c r="F47" i="78"/>
  <c r="F44" i="78"/>
  <c r="F36" i="78"/>
  <c r="F24" i="78"/>
  <c r="F19" i="78"/>
  <c r="F18" i="78"/>
  <c r="L12" i="78"/>
  <c r="F87" i="78"/>
  <c r="F80" i="78"/>
  <c r="F75" i="78"/>
  <c r="F63" i="78"/>
  <c r="F59" i="78"/>
  <c r="F55" i="78"/>
  <c r="F43" i="78"/>
  <c r="F35" i="78"/>
  <c r="F23" i="78"/>
  <c r="F14" i="78"/>
  <c r="F22" i="78"/>
  <c r="Z53" i="78"/>
  <c r="F69" i="78"/>
  <c r="D36" i="79"/>
  <c r="L18" i="80"/>
  <c r="N18" i="80" s="1"/>
  <c r="X53" i="83"/>
  <c r="Z53" i="83" s="1"/>
  <c r="N55" i="83"/>
  <c r="L55" i="83"/>
  <c r="J20" i="77"/>
  <c r="J24" i="77"/>
  <c r="R26" i="77"/>
  <c r="J30" i="77"/>
  <c r="R33" i="77"/>
  <c r="J22" i="78"/>
  <c r="V26" i="78"/>
  <c r="R27" i="78"/>
  <c r="V30" i="78"/>
  <c r="R31" i="78"/>
  <c r="J34" i="78"/>
  <c r="V38" i="78"/>
  <c r="R39" i="78"/>
  <c r="J40" i="78"/>
  <c r="J46" i="78"/>
  <c r="V50" i="78"/>
  <c r="J54" i="78"/>
  <c r="R64" i="78"/>
  <c r="J66" i="78"/>
  <c r="V70" i="78"/>
  <c r="D77" i="78"/>
  <c r="L77" i="78" s="1"/>
  <c r="V80" i="78"/>
  <c r="V82" i="78"/>
  <c r="V87" i="78"/>
  <c r="N12" i="79"/>
  <c r="J14" i="79"/>
  <c r="R16" i="79"/>
  <c r="V20" i="79"/>
  <c r="J24" i="79"/>
  <c r="V28" i="79"/>
  <c r="F32" i="79"/>
  <c r="V32" i="79"/>
  <c r="V34" i="79"/>
  <c r="F39" i="79"/>
  <c r="V39" i="79"/>
  <c r="N12" i="80"/>
  <c r="J14" i="80"/>
  <c r="R16" i="80"/>
  <c r="V20" i="80"/>
  <c r="J24" i="80"/>
  <c r="F26" i="80"/>
  <c r="V26" i="80"/>
  <c r="J30" i="80"/>
  <c r="F32" i="80"/>
  <c r="V32" i="80"/>
  <c r="R14" i="81"/>
  <c r="J16" i="81"/>
  <c r="J20" i="81"/>
  <c r="V24" i="81"/>
  <c r="F28" i="81"/>
  <c r="V28" i="81"/>
  <c r="V30" i="81"/>
  <c r="F35" i="81"/>
  <c r="V35" i="81"/>
  <c r="F21" i="82"/>
  <c r="D23" i="82"/>
  <c r="F23" i="82" s="1"/>
  <c r="T97" i="82"/>
  <c r="J26" i="82"/>
  <c r="V28" i="82"/>
  <c r="V29" i="82"/>
  <c r="V35" i="82"/>
  <c r="J39" i="82"/>
  <c r="Z50" i="82"/>
  <c r="J55" i="82"/>
  <c r="J61" i="82"/>
  <c r="V67" i="82"/>
  <c r="F88" i="82"/>
  <c r="F91" i="82"/>
  <c r="D57" i="84"/>
  <c r="L16" i="77"/>
  <c r="R19" i="77"/>
  <c r="F21" i="77"/>
  <c r="V21" i="77"/>
  <c r="R22" i="77"/>
  <c r="R28" i="77"/>
  <c r="P16" i="78"/>
  <c r="R18" i="78"/>
  <c r="V19" i="78"/>
  <c r="R20" i="78"/>
  <c r="J23" i="78"/>
  <c r="V27" i="78"/>
  <c r="R28" i="78"/>
  <c r="J29" i="78"/>
  <c r="V31" i="78"/>
  <c r="R32" i="78"/>
  <c r="J35" i="78"/>
  <c r="V39" i="78"/>
  <c r="J43" i="78"/>
  <c r="R45" i="78"/>
  <c r="V47" i="78"/>
  <c r="R48" i="78"/>
  <c r="J49" i="78"/>
  <c r="R53" i="78"/>
  <c r="J55" i="78"/>
  <c r="J59" i="78"/>
  <c r="J63" i="78"/>
  <c r="V67" i="78"/>
  <c r="R68" i="78"/>
  <c r="J69" i="78"/>
  <c r="J75" i="78"/>
  <c r="V77" i="78"/>
  <c r="J19" i="79"/>
  <c r="F22" i="79"/>
  <c r="R23" i="79"/>
  <c r="F25" i="79"/>
  <c r="V25" i="79"/>
  <c r="R26" i="79"/>
  <c r="J27" i="79"/>
  <c r="D16" i="80"/>
  <c r="T16" i="80"/>
  <c r="X16" i="80" s="1"/>
  <c r="J19" i="80"/>
  <c r="F22" i="80"/>
  <c r="R23" i="80"/>
  <c r="R19" i="81"/>
  <c r="F21" i="81"/>
  <c r="V21" i="81"/>
  <c r="R22" i="81"/>
  <c r="J23" i="81"/>
  <c r="P12" i="82"/>
  <c r="J21" i="82"/>
  <c r="V23" i="82"/>
  <c r="J25" i="82"/>
  <c r="V25" i="82"/>
  <c r="V43" i="82"/>
  <c r="F59" i="82"/>
  <c r="F64" i="82"/>
  <c r="J77" i="82"/>
  <c r="V22" i="77"/>
  <c r="F26" i="77"/>
  <c r="V26" i="77"/>
  <c r="V28" i="77"/>
  <c r="F33" i="77"/>
  <c r="V33" i="77"/>
  <c r="N12" i="78"/>
  <c r="J14" i="78"/>
  <c r="R16" i="78"/>
  <c r="V20" i="78"/>
  <c r="R21" i="78"/>
  <c r="J24" i="78"/>
  <c r="V28" i="78"/>
  <c r="V32" i="78"/>
  <c r="R33" i="78"/>
  <c r="J36" i="78"/>
  <c r="R42" i="78"/>
  <c r="J44" i="78"/>
  <c r="X47" i="78"/>
  <c r="Z47" i="78" s="1"/>
  <c r="V48" i="78"/>
  <c r="L49" i="78"/>
  <c r="J52" i="78"/>
  <c r="J56" i="78"/>
  <c r="R58" i="78"/>
  <c r="J60" i="78"/>
  <c r="R62" i="78"/>
  <c r="V64" i="78"/>
  <c r="R65" i="78"/>
  <c r="V68" i="78"/>
  <c r="J72" i="78"/>
  <c r="R74" i="78"/>
  <c r="J80" i="78"/>
  <c r="R84" i="78"/>
  <c r="J87" i="78"/>
  <c r="F16" i="79"/>
  <c r="V16" i="79"/>
  <c r="J18" i="79"/>
  <c r="V18" i="79"/>
  <c r="J22" i="79"/>
  <c r="V26" i="79"/>
  <c r="R30" i="79"/>
  <c r="J32" i="79"/>
  <c r="R36" i="79"/>
  <c r="J39" i="79"/>
  <c r="F16" i="80"/>
  <c r="V16" i="80"/>
  <c r="J18" i="80"/>
  <c r="V18" i="80"/>
  <c r="J22" i="80"/>
  <c r="J26" i="80"/>
  <c r="R28" i="80"/>
  <c r="J32" i="80"/>
  <c r="R35" i="80"/>
  <c r="X21" i="81"/>
  <c r="V22" i="81"/>
  <c r="L23" i="81"/>
  <c r="R26" i="81"/>
  <c r="J28" i="81"/>
  <c r="R32" i="81"/>
  <c r="J35" i="81"/>
  <c r="V78" i="82"/>
  <c r="V70" i="82"/>
  <c r="V62" i="82"/>
  <c r="V50" i="82"/>
  <c r="V42" i="82"/>
  <c r="V30" i="82"/>
  <c r="V85" i="82"/>
  <c r="V77" i="82"/>
  <c r="V61" i="82"/>
  <c r="V53" i="82"/>
  <c r="V41" i="82"/>
  <c r="V94" i="82"/>
  <c r="V88" i="82"/>
  <c r="V84" i="82"/>
  <c r="V64" i="82"/>
  <c r="V56" i="82"/>
  <c r="V52" i="82"/>
  <c r="V40" i="82"/>
  <c r="V99" i="82"/>
  <c r="V97" i="82"/>
  <c r="V87" i="82"/>
  <c r="V83" i="82"/>
  <c r="V63" i="82"/>
  <c r="V55" i="82"/>
  <c r="V47" i="82"/>
  <c r="V90" i="82"/>
  <c r="V86" i="82"/>
  <c r="V82" i="82"/>
  <c r="V74" i="82"/>
  <c r="V66" i="82"/>
  <c r="V58" i="82"/>
  <c r="V54" i="82"/>
  <c r="V46" i="82"/>
  <c r="V38" i="82"/>
  <c r="V34" i="82"/>
  <c r="V89" i="82"/>
  <c r="V81" i="82"/>
  <c r="V73" i="82"/>
  <c r="V69" i="82"/>
  <c r="V65" i="82"/>
  <c r="V57" i="82"/>
  <c r="V49" i="82"/>
  <c r="V45" i="82"/>
  <c r="V37" i="82"/>
  <c r="V92" i="82"/>
  <c r="V80" i="82"/>
  <c r="V76" i="82"/>
  <c r="V72" i="82"/>
  <c r="V68" i="82"/>
  <c r="V60" i="82"/>
  <c r="V48" i="82"/>
  <c r="V44" i="82"/>
  <c r="V32" i="82"/>
  <c r="F18" i="82"/>
  <c r="V18" i="82"/>
  <c r="H23" i="82"/>
  <c r="F27" i="82"/>
  <c r="F32" i="82"/>
  <c r="F33" i="82"/>
  <c r="F67" i="82"/>
  <c r="V71" i="82"/>
  <c r="N33" i="83"/>
  <c r="J19" i="78"/>
  <c r="V21" i="78"/>
  <c r="R22" i="78"/>
  <c r="J25" i="78"/>
  <c r="V33" i="78"/>
  <c r="R34" i="78"/>
  <c r="J37" i="78"/>
  <c r="J41" i="78"/>
  <c r="V45" i="78"/>
  <c r="R46" i="78"/>
  <c r="J47" i="78"/>
  <c r="R51" i="78"/>
  <c r="V53" i="78"/>
  <c r="R54" i="78"/>
  <c r="J57" i="78"/>
  <c r="J61" i="78"/>
  <c r="V65" i="78"/>
  <c r="R66" i="78"/>
  <c r="J67" i="78"/>
  <c r="R71" i="78"/>
  <c r="J73" i="78"/>
  <c r="J77" i="78"/>
  <c r="R78" i="78"/>
  <c r="X12" i="79"/>
  <c r="H16" i="79"/>
  <c r="F20" i="79"/>
  <c r="R21" i="79"/>
  <c r="F23" i="79"/>
  <c r="V23" i="79"/>
  <c r="R24" i="79"/>
  <c r="J25" i="79"/>
  <c r="F28" i="79"/>
  <c r="F34" i="79"/>
  <c r="X12" i="80"/>
  <c r="H16" i="80"/>
  <c r="F20" i="80"/>
  <c r="R21" i="80"/>
  <c r="F23" i="80"/>
  <c r="V23" i="80"/>
  <c r="R24" i="80"/>
  <c r="R30" i="80"/>
  <c r="L12" i="81"/>
  <c r="P16" i="81"/>
  <c r="F18" i="81"/>
  <c r="R18" i="81"/>
  <c r="F19" i="81"/>
  <c r="V19" i="81"/>
  <c r="R20" i="81"/>
  <c r="J21" i="81"/>
  <c r="F24" i="81"/>
  <c r="F30" i="81"/>
  <c r="V19" i="82"/>
  <c r="J27" i="82"/>
  <c r="F28" i="82"/>
  <c r="F29" i="82"/>
  <c r="J31" i="82"/>
  <c r="J32" i="82"/>
  <c r="F36" i="82"/>
  <c r="J37" i="82"/>
  <c r="V39" i="82"/>
  <c r="F75" i="82"/>
  <c r="J87" i="82"/>
  <c r="V95" i="82"/>
  <c r="T94" i="83"/>
  <c r="N16" i="85"/>
  <c r="H28" i="85"/>
  <c r="L28" i="85" s="1"/>
  <c r="D32" i="85"/>
  <c r="N12" i="77"/>
  <c r="J14" i="77"/>
  <c r="R16" i="77"/>
  <c r="V20" i="77"/>
  <c r="R24" i="77"/>
  <c r="J26" i="77"/>
  <c r="J33" i="77"/>
  <c r="V16" i="78"/>
  <c r="J18" i="78"/>
  <c r="V18" i="78"/>
  <c r="V22" i="78"/>
  <c r="R23" i="78"/>
  <c r="J26" i="78"/>
  <c r="J30" i="78"/>
  <c r="V34" i="78"/>
  <c r="R35" i="78"/>
  <c r="J38" i="78"/>
  <c r="R40" i="78"/>
  <c r="V42" i="78"/>
  <c r="R43" i="78"/>
  <c r="V46" i="78"/>
  <c r="J50" i="78"/>
  <c r="V54" i="78"/>
  <c r="R55" i="78"/>
  <c r="V58" i="78"/>
  <c r="R59" i="78"/>
  <c r="V62" i="78"/>
  <c r="R63" i="78"/>
  <c r="J64" i="78"/>
  <c r="V66" i="78"/>
  <c r="J70" i="78"/>
  <c r="V74" i="78"/>
  <c r="R75" i="78"/>
  <c r="V78" i="78"/>
  <c r="J82" i="78"/>
  <c r="V84" i="78"/>
  <c r="Z12" i="79"/>
  <c r="R14" i="79"/>
  <c r="J16" i="79"/>
  <c r="J20" i="79"/>
  <c r="V24" i="79"/>
  <c r="J28" i="79"/>
  <c r="F30" i="79"/>
  <c r="V30" i="79"/>
  <c r="J34" i="79"/>
  <c r="F36" i="79"/>
  <c r="V36" i="79"/>
  <c r="Z12" i="80"/>
  <c r="R14" i="80"/>
  <c r="J16" i="80"/>
  <c r="J20" i="80"/>
  <c r="V24" i="80"/>
  <c r="F28" i="80"/>
  <c r="V28" i="80"/>
  <c r="V30" i="80"/>
  <c r="F35" i="80"/>
  <c r="V35" i="80"/>
  <c r="N12" i="81"/>
  <c r="J14" i="81"/>
  <c r="R16" i="81"/>
  <c r="V20" i="81"/>
  <c r="J24" i="81"/>
  <c r="F26" i="81"/>
  <c r="V26" i="81"/>
  <c r="J30" i="81"/>
  <c r="F32" i="81"/>
  <c r="V32" i="81"/>
  <c r="J18" i="82"/>
  <c r="V20" i="82"/>
  <c r="J28" i="82"/>
  <c r="J29" i="82"/>
  <c r="F30" i="82"/>
  <c r="J47" i="82"/>
  <c r="V51" i="82"/>
  <c r="Z52" i="82"/>
  <c r="N54" i="82"/>
  <c r="N70" i="82"/>
  <c r="L70" i="82"/>
  <c r="V91" i="82"/>
  <c r="X33" i="83"/>
  <c r="Z33" i="83" s="1"/>
  <c r="N51" i="83"/>
  <c r="Z68" i="83"/>
  <c r="L14" i="77"/>
  <c r="J19" i="77"/>
  <c r="F22" i="77"/>
  <c r="F28" i="77"/>
  <c r="X12" i="78"/>
  <c r="H16" i="78"/>
  <c r="V23" i="78"/>
  <c r="R24" i="78"/>
  <c r="J27" i="78"/>
  <c r="R29" i="78"/>
  <c r="J31" i="78"/>
  <c r="V35" i="78"/>
  <c r="R36" i="78"/>
  <c r="J39" i="78"/>
  <c r="V43" i="78"/>
  <c r="R44" i="78"/>
  <c r="J45" i="78"/>
  <c r="R49" i="78"/>
  <c r="V51" i="78"/>
  <c r="R52" i="78"/>
  <c r="J53" i="78"/>
  <c r="V55" i="78"/>
  <c r="R56" i="78"/>
  <c r="V59" i="78"/>
  <c r="R60" i="78"/>
  <c r="V63" i="78"/>
  <c r="R69" i="78"/>
  <c r="V71" i="78"/>
  <c r="R72" i="78"/>
  <c r="V75" i="78"/>
  <c r="R19" i="79"/>
  <c r="F21" i="79"/>
  <c r="V21" i="79"/>
  <c r="R22" i="79"/>
  <c r="J23" i="79"/>
  <c r="R27" i="79"/>
  <c r="R19" i="80"/>
  <c r="F21" i="80"/>
  <c r="V21" i="80"/>
  <c r="R22" i="80"/>
  <c r="J23" i="80"/>
  <c r="J19" i="81"/>
  <c r="R23" i="81"/>
  <c r="F99" i="82"/>
  <c r="F87" i="82"/>
  <c r="F83" i="82"/>
  <c r="F70" i="82"/>
  <c r="F55" i="82"/>
  <c r="F50" i="82"/>
  <c r="F47" i="82"/>
  <c r="F39" i="82"/>
  <c r="F35" i="82"/>
  <c r="F90" i="82"/>
  <c r="F82" i="82"/>
  <c r="F77" i="82"/>
  <c r="F74" i="82"/>
  <c r="F66" i="82"/>
  <c r="F61" i="82"/>
  <c r="F58" i="82"/>
  <c r="F46" i="82"/>
  <c r="F38" i="82"/>
  <c r="F34" i="82"/>
  <c r="F94" i="82"/>
  <c r="F81" i="82"/>
  <c r="F73" i="82"/>
  <c r="F69" i="82"/>
  <c r="F52" i="82"/>
  <c r="F49" i="82"/>
  <c r="F45" i="82"/>
  <c r="F92" i="82"/>
  <c r="F80" i="82"/>
  <c r="F76" i="82"/>
  <c r="F72" i="82"/>
  <c r="F68" i="82"/>
  <c r="F63" i="82"/>
  <c r="F60" i="82"/>
  <c r="F44" i="82"/>
  <c r="F86" i="82"/>
  <c r="F79" i="82"/>
  <c r="F71" i="82"/>
  <c r="F54" i="82"/>
  <c r="F51" i="82"/>
  <c r="F43" i="82"/>
  <c r="F31" i="82"/>
  <c r="F95" i="82"/>
  <c r="F89" i="82"/>
  <c r="F78" i="82"/>
  <c r="F65" i="82"/>
  <c r="F62" i="82"/>
  <c r="F57" i="82"/>
  <c r="F42" i="82"/>
  <c r="F37" i="82"/>
  <c r="F85" i="82"/>
  <c r="F53" i="82"/>
  <c r="F48" i="82"/>
  <c r="F41" i="82"/>
  <c r="J30" i="82"/>
  <c r="V33" i="82"/>
  <c r="V79" i="82"/>
  <c r="N53" i="83"/>
  <c r="F16" i="77"/>
  <c r="V16" i="77"/>
  <c r="J18" i="77"/>
  <c r="V18" i="77"/>
  <c r="J22" i="77"/>
  <c r="F24" i="77"/>
  <c r="V24" i="77"/>
  <c r="Z12" i="78"/>
  <c r="R14" i="78"/>
  <c r="J16" i="78"/>
  <c r="J20" i="78"/>
  <c r="V24" i="78"/>
  <c r="R25" i="78"/>
  <c r="J28" i="78"/>
  <c r="J32" i="78"/>
  <c r="V36" i="78"/>
  <c r="R37" i="78"/>
  <c r="V40" i="78"/>
  <c r="R41" i="78"/>
  <c r="J42" i="78"/>
  <c r="V44" i="78"/>
  <c r="J48" i="78"/>
  <c r="V52" i="78"/>
  <c r="V56" i="78"/>
  <c r="R57" i="78"/>
  <c r="J58" i="78"/>
  <c r="V60" i="78"/>
  <c r="R61" i="78"/>
  <c r="J62" i="78"/>
  <c r="J68" i="78"/>
  <c r="R73" i="78"/>
  <c r="J74" i="78"/>
  <c r="R80" i="78"/>
  <c r="J26" i="79"/>
  <c r="J30" i="79"/>
  <c r="R32" i="79"/>
  <c r="R26" i="80"/>
  <c r="J28" i="80"/>
  <c r="V16" i="81"/>
  <c r="J18" i="81"/>
  <c r="J22" i="81"/>
  <c r="J26" i="81"/>
  <c r="R28" i="81"/>
  <c r="J94" i="82"/>
  <c r="J90" i="82"/>
  <c r="J82" i="82"/>
  <c r="J74" i="82"/>
  <c r="J66" i="82"/>
  <c r="J58" i="82"/>
  <c r="J52" i="82"/>
  <c r="J46" i="82"/>
  <c r="J38" i="82"/>
  <c r="J34" i="82"/>
  <c r="J81" i="82"/>
  <c r="J73" i="82"/>
  <c r="J69" i="82"/>
  <c r="J63" i="82"/>
  <c r="J49" i="82"/>
  <c r="J45" i="82"/>
  <c r="J33" i="82"/>
  <c r="J92" i="82"/>
  <c r="J86" i="82"/>
  <c r="J80" i="82"/>
  <c r="J76" i="82"/>
  <c r="J72" i="82"/>
  <c r="J68" i="82"/>
  <c r="J60" i="82"/>
  <c r="J54" i="82"/>
  <c r="J44" i="82"/>
  <c r="J89" i="82"/>
  <c r="J79" i="82"/>
  <c r="J71" i="82"/>
  <c r="J65" i="82"/>
  <c r="J57" i="82"/>
  <c r="J51" i="82"/>
  <c r="J43" i="82"/>
  <c r="J95" i="82"/>
  <c r="J78" i="82"/>
  <c r="J62" i="82"/>
  <c r="J48" i="82"/>
  <c r="J42" i="82"/>
  <c r="J91" i="82"/>
  <c r="J85" i="82"/>
  <c r="J75" i="82"/>
  <c r="J67" i="82"/>
  <c r="J59" i="82"/>
  <c r="J53" i="82"/>
  <c r="J41" i="82"/>
  <c r="J88" i="82"/>
  <c r="J84" i="82"/>
  <c r="J70" i="82"/>
  <c r="J64" i="82"/>
  <c r="J56" i="82"/>
  <c r="J50" i="82"/>
  <c r="J40" i="82"/>
  <c r="J36" i="82"/>
  <c r="F19" i="82"/>
  <c r="F25" i="82"/>
  <c r="F26" i="82"/>
  <c r="V26" i="82"/>
  <c r="V31" i="82"/>
  <c r="V36" i="82"/>
  <c r="F40" i="82"/>
  <c r="Z48" i="82"/>
  <c r="X48" i="82"/>
  <c r="L50" i="82"/>
  <c r="N50" i="82" s="1"/>
  <c r="F56" i="82"/>
  <c r="Z70" i="82"/>
  <c r="Z48" i="83"/>
  <c r="D12" i="83"/>
  <c r="V17" i="83"/>
  <c r="J25" i="83"/>
  <c r="V29" i="83"/>
  <c r="V33" i="83"/>
  <c r="J37" i="83"/>
  <c r="V41" i="83"/>
  <c r="V45" i="83"/>
  <c r="J49" i="83"/>
  <c r="V53" i="83"/>
  <c r="J55" i="83"/>
  <c r="V57" i="83"/>
  <c r="V65" i="83"/>
  <c r="V73" i="83"/>
  <c r="V75" i="83"/>
  <c r="V76" i="83"/>
  <c r="V79" i="83"/>
  <c r="H53" i="84"/>
  <c r="L53" i="84" s="1"/>
  <c r="N16" i="84"/>
  <c r="L48" i="84"/>
  <c r="N48" i="84" s="1"/>
  <c r="P48" i="84"/>
  <c r="X48" i="84" s="1"/>
  <c r="X49" i="84"/>
  <c r="Z49" i="84" s="1"/>
  <c r="J80" i="83"/>
  <c r="J85" i="83"/>
  <c r="J82" i="83"/>
  <c r="J76" i="83"/>
  <c r="J84" i="83"/>
  <c r="J81" i="83"/>
  <c r="J92" i="83"/>
  <c r="J16" i="83"/>
  <c r="J26" i="83"/>
  <c r="V30" i="83"/>
  <c r="V34" i="83"/>
  <c r="J38" i="83"/>
  <c r="V42" i="83"/>
  <c r="J44" i="83"/>
  <c r="J50" i="83"/>
  <c r="V54" i="83"/>
  <c r="J62" i="83"/>
  <c r="J70" i="83"/>
  <c r="P16" i="84"/>
  <c r="Z48" i="84"/>
  <c r="Z20" i="86"/>
  <c r="V23" i="83"/>
  <c r="J27" i="83"/>
  <c r="V31" i="83"/>
  <c r="J33" i="83"/>
  <c r="V35" i="83"/>
  <c r="J39" i="83"/>
  <c r="V43" i="83"/>
  <c r="J47" i="83"/>
  <c r="V51" i="83"/>
  <c r="J53" i="83"/>
  <c r="J59" i="83"/>
  <c r="J63" i="83"/>
  <c r="J67" i="83"/>
  <c r="J71" i="83"/>
  <c r="X80" i="83"/>
  <c r="Z80" i="83" s="1"/>
  <c r="J83" i="83"/>
  <c r="N84" i="83"/>
  <c r="N14" i="84"/>
  <c r="L14" i="84"/>
  <c r="T57" i="84"/>
  <c r="N23" i="86"/>
  <c r="V45" i="87"/>
  <c r="V33" i="87"/>
  <c r="V21" i="87"/>
  <c r="V48" i="87"/>
  <c r="V44" i="87"/>
  <c r="V63" i="87"/>
  <c r="V57" i="87"/>
  <c r="V51" i="87"/>
  <c r="V47" i="87"/>
  <c r="V39" i="87"/>
  <c r="V31" i="87"/>
  <c r="V27" i="87"/>
  <c r="V19" i="87"/>
  <c r="V50" i="87"/>
  <c r="V46" i="87"/>
  <c r="V38" i="87"/>
  <c r="V30" i="87"/>
  <c r="V26" i="87"/>
  <c r="V53" i="87"/>
  <c r="V49" i="87"/>
  <c r="V41" i="87"/>
  <c r="V37" i="87"/>
  <c r="V29" i="87"/>
  <c r="V25" i="87"/>
  <c r="V52" i="87"/>
  <c r="V40" i="87"/>
  <c r="V36" i="87"/>
  <c r="V24" i="87"/>
  <c r="V66" i="87"/>
  <c r="V61" i="87"/>
  <c r="V59" i="87"/>
  <c r="V55" i="87"/>
  <c r="V43" i="87"/>
  <c r="V35" i="87"/>
  <c r="V23" i="87"/>
  <c r="T16" i="87"/>
  <c r="V32" i="87"/>
  <c r="V54" i="87"/>
  <c r="V42" i="87"/>
  <c r="V14" i="87"/>
  <c r="V34" i="87"/>
  <c r="V22" i="87"/>
  <c r="Z12" i="87"/>
  <c r="X12" i="87"/>
  <c r="Z18" i="87"/>
  <c r="J28" i="83"/>
  <c r="V36" i="83"/>
  <c r="J40" i="83"/>
  <c r="V48" i="83"/>
  <c r="V52" i="83"/>
  <c r="J56" i="83"/>
  <c r="J60" i="83"/>
  <c r="J64" i="83"/>
  <c r="V68" i="83"/>
  <c r="J72" i="83"/>
  <c r="Z27" i="86"/>
  <c r="X27" i="86"/>
  <c r="N29" i="86"/>
  <c r="L29" i="86"/>
  <c r="P12" i="83"/>
  <c r="J17" i="83"/>
  <c r="J23" i="83"/>
  <c r="V25" i="83"/>
  <c r="J29" i="83"/>
  <c r="V37" i="83"/>
  <c r="J41" i="83"/>
  <c r="J45" i="83"/>
  <c r="V49" i="83"/>
  <c r="J51" i="83"/>
  <c r="J57" i="83"/>
  <c r="V61" i="83"/>
  <c r="J65" i="83"/>
  <c r="V69" i="83"/>
  <c r="J73" i="83"/>
  <c r="X84" i="83"/>
  <c r="J88" i="83"/>
  <c r="L21" i="86"/>
  <c r="V16" i="87"/>
  <c r="V18" i="87"/>
  <c r="V78" i="83"/>
  <c r="V74" i="83"/>
  <c r="V87" i="83"/>
  <c r="V92" i="83"/>
  <c r="V90" i="83"/>
  <c r="V80" i="83"/>
  <c r="V82" i="83"/>
  <c r="V85" i="83"/>
  <c r="V94" i="83"/>
  <c r="V88" i="83"/>
  <c r="V84" i="83"/>
  <c r="J18" i="83"/>
  <c r="V20" i="83"/>
  <c r="J22" i="83"/>
  <c r="V22" i="83"/>
  <c r="V26" i="83"/>
  <c r="J30" i="83"/>
  <c r="J34" i="83"/>
  <c r="V38" i="83"/>
  <c r="J42" i="83"/>
  <c r="V46" i="83"/>
  <c r="J48" i="83"/>
  <c r="V50" i="83"/>
  <c r="J54" i="83"/>
  <c r="V58" i="83"/>
  <c r="V62" i="83"/>
  <c r="V66" i="83"/>
  <c r="J68" i="83"/>
  <c r="V70" i="83"/>
  <c r="J74" i="83"/>
  <c r="J75" i="83"/>
  <c r="J79" i="83"/>
  <c r="V83" i="83"/>
  <c r="Z84" i="83"/>
  <c r="J87" i="83"/>
  <c r="L20" i="86"/>
  <c r="N20" i="86" s="1"/>
  <c r="Z23" i="86"/>
  <c r="H20" i="83"/>
  <c r="V27" i="83"/>
  <c r="J31" i="83"/>
  <c r="J35" i="83"/>
  <c r="V39" i="83"/>
  <c r="J43" i="83"/>
  <c r="V47" i="83"/>
  <c r="V55" i="83"/>
  <c r="V59" i="83"/>
  <c r="J61" i="83"/>
  <c r="V63" i="83"/>
  <c r="V67" i="83"/>
  <c r="V71" i="83"/>
  <c r="L80" i="83"/>
  <c r="V81" i="83"/>
  <c r="Z12" i="84"/>
  <c r="R14" i="84"/>
  <c r="J16" i="84"/>
  <c r="Z16" i="84"/>
  <c r="J20" i="84"/>
  <c r="F21" i="84"/>
  <c r="V24" i="84"/>
  <c r="R25" i="84"/>
  <c r="F28" i="84"/>
  <c r="V28" i="84"/>
  <c r="R29" i="84"/>
  <c r="J32" i="84"/>
  <c r="F33" i="84"/>
  <c r="V36" i="84"/>
  <c r="R37" i="84"/>
  <c r="V40" i="84"/>
  <c r="J44" i="84"/>
  <c r="J48" i="84"/>
  <c r="R49" i="84"/>
  <c r="L16" i="85"/>
  <c r="R19" i="85"/>
  <c r="F21" i="85"/>
  <c r="V21" i="85"/>
  <c r="R22" i="85"/>
  <c r="J23" i="85"/>
  <c r="T18" i="86"/>
  <c r="J21" i="86"/>
  <c r="R25" i="86"/>
  <c r="V27" i="86"/>
  <c r="R28" i="86"/>
  <c r="J29" i="86"/>
  <c r="H16" i="87"/>
  <c r="J24" i="87"/>
  <c r="F42" i="87"/>
  <c r="R43" i="87"/>
  <c r="F54" i="87"/>
  <c r="L16" i="84"/>
  <c r="R19" i="84"/>
  <c r="J21" i="84"/>
  <c r="F22" i="84"/>
  <c r="V25" i="84"/>
  <c r="R26" i="84"/>
  <c r="V29" i="84"/>
  <c r="R30" i="84"/>
  <c r="J33" i="84"/>
  <c r="F34" i="84"/>
  <c r="V37" i="84"/>
  <c r="R38" i="84"/>
  <c r="J39" i="84"/>
  <c r="F42" i="84"/>
  <c r="R43" i="84"/>
  <c r="F45" i="84"/>
  <c r="V45" i="84"/>
  <c r="R46" i="84"/>
  <c r="V49" i="84"/>
  <c r="F51" i="84"/>
  <c r="R53" i="84"/>
  <c r="J57" i="84"/>
  <c r="R60" i="84"/>
  <c r="V22" i="85"/>
  <c r="R26" i="85"/>
  <c r="J28" i="85"/>
  <c r="R32" i="85"/>
  <c r="J35" i="85"/>
  <c r="J16" i="86"/>
  <c r="V18" i="86"/>
  <c r="J20" i="86"/>
  <c r="V20" i="86"/>
  <c r="J24" i="86"/>
  <c r="V28" i="86"/>
  <c r="J32" i="86"/>
  <c r="V34" i="86"/>
  <c r="J38" i="86"/>
  <c r="V40" i="86"/>
  <c r="R14" i="87"/>
  <c r="J16" i="87"/>
  <c r="F27" i="87"/>
  <c r="N42" i="87"/>
  <c r="R52" i="87"/>
  <c r="J22" i="84"/>
  <c r="F23" i="84"/>
  <c r="V26" i="84"/>
  <c r="R27" i="84"/>
  <c r="J28" i="84"/>
  <c r="V30" i="84"/>
  <c r="R31" i="84"/>
  <c r="J34" i="84"/>
  <c r="F35" i="84"/>
  <c r="V38" i="84"/>
  <c r="J42" i="84"/>
  <c r="V46" i="84"/>
  <c r="J51" i="84"/>
  <c r="R55" i="84"/>
  <c r="L12" i="85"/>
  <c r="P16" i="85"/>
  <c r="F18" i="85"/>
  <c r="R18" i="85"/>
  <c r="F19" i="85"/>
  <c r="V19" i="85"/>
  <c r="R20" i="85"/>
  <c r="J21" i="85"/>
  <c r="F24" i="85"/>
  <c r="F30" i="85"/>
  <c r="X12" i="86"/>
  <c r="R15" i="86"/>
  <c r="H18" i="86"/>
  <c r="R23" i="86"/>
  <c r="V25" i="86"/>
  <c r="R26" i="86"/>
  <c r="J27" i="86"/>
  <c r="R31" i="86"/>
  <c r="F50" i="87"/>
  <c r="F38" i="87"/>
  <c r="F30" i="87"/>
  <c r="F26" i="87"/>
  <c r="F53" i="87"/>
  <c r="F44" i="87"/>
  <c r="F41" i="87"/>
  <c r="F63" i="87"/>
  <c r="F57" i="87"/>
  <c r="F36" i="87"/>
  <c r="F24" i="87"/>
  <c r="F19" i="87"/>
  <c r="F61" i="87"/>
  <c r="F55" i="87"/>
  <c r="F46" i="87"/>
  <c r="F43" i="87"/>
  <c r="F35" i="87"/>
  <c r="F23" i="87"/>
  <c r="F49" i="87"/>
  <c r="F34" i="87"/>
  <c r="F29" i="87"/>
  <c r="F22" i="87"/>
  <c r="F52" i="87"/>
  <c r="F45" i="87"/>
  <c r="F40" i="87"/>
  <c r="F33" i="87"/>
  <c r="F21" i="87"/>
  <c r="F66" i="87"/>
  <c r="F59" i="87"/>
  <c r="F48" i="87"/>
  <c r="F32" i="87"/>
  <c r="F28" i="87"/>
  <c r="F51" i="87"/>
  <c r="Z52" i="87"/>
  <c r="R55" i="87"/>
  <c r="L26" i="88"/>
  <c r="N48" i="88"/>
  <c r="X52" i="88"/>
  <c r="L54" i="88"/>
  <c r="R41" i="84"/>
  <c r="R44" i="84"/>
  <c r="J45" i="84"/>
  <c r="R50" i="84"/>
  <c r="F53" i="84"/>
  <c r="V53" i="84"/>
  <c r="V55" i="84"/>
  <c r="F60" i="84"/>
  <c r="V60" i="84"/>
  <c r="J63" i="87"/>
  <c r="J57" i="87"/>
  <c r="J53" i="87"/>
  <c r="J41" i="87"/>
  <c r="J37" i="87"/>
  <c r="J25" i="87"/>
  <c r="J46" i="87"/>
  <c r="J61" i="87"/>
  <c r="J55" i="87"/>
  <c r="J49" i="87"/>
  <c r="J43" i="87"/>
  <c r="J35" i="87"/>
  <c r="J29" i="87"/>
  <c r="J23" i="87"/>
  <c r="J52" i="87"/>
  <c r="J40" i="87"/>
  <c r="J34" i="87"/>
  <c r="J22" i="87"/>
  <c r="J66" i="87"/>
  <c r="J59" i="87"/>
  <c r="J45" i="87"/>
  <c r="J33" i="87"/>
  <c r="J21" i="87"/>
  <c r="J54" i="87"/>
  <c r="J48" i="87"/>
  <c r="J42" i="87"/>
  <c r="J32" i="87"/>
  <c r="J28" i="87"/>
  <c r="J20" i="87"/>
  <c r="J51" i="87"/>
  <c r="J47" i="87"/>
  <c r="J39" i="87"/>
  <c r="J31" i="87"/>
  <c r="J27" i="87"/>
  <c r="J36" i="87"/>
  <c r="N26" i="88"/>
  <c r="Z52" i="88"/>
  <c r="N12" i="84"/>
  <c r="J14" i="84"/>
  <c r="R16" i="84"/>
  <c r="X19" i="84"/>
  <c r="V20" i="84"/>
  <c r="R21" i="84"/>
  <c r="J24" i="84"/>
  <c r="F25" i="84"/>
  <c r="F29" i="84"/>
  <c r="V32" i="84"/>
  <c r="R33" i="84"/>
  <c r="J36" i="84"/>
  <c r="F37" i="84"/>
  <c r="J40" i="84"/>
  <c r="V44" i="84"/>
  <c r="R48" i="84"/>
  <c r="J49" i="84"/>
  <c r="V50" i="84"/>
  <c r="T16" i="85"/>
  <c r="J19" i="85"/>
  <c r="F22" i="85"/>
  <c r="R23" i="85"/>
  <c r="D12" i="86"/>
  <c r="V15" i="86"/>
  <c r="R16" i="86"/>
  <c r="R21" i="86"/>
  <c r="V23" i="86"/>
  <c r="R24" i="86"/>
  <c r="J25" i="86"/>
  <c r="R29" i="86"/>
  <c r="V31" i="86"/>
  <c r="R32" i="86"/>
  <c r="R38" i="86"/>
  <c r="L12" i="87"/>
  <c r="P16" i="87"/>
  <c r="F18" i="87"/>
  <c r="R18" i="87"/>
  <c r="F20" i="87"/>
  <c r="R21" i="87"/>
  <c r="J26" i="87"/>
  <c r="N25" i="88"/>
  <c r="N37" i="88"/>
  <c r="J19" i="84"/>
  <c r="V21" i="84"/>
  <c r="R22" i="84"/>
  <c r="J25" i="84"/>
  <c r="F26" i="84"/>
  <c r="J29" i="84"/>
  <c r="F30" i="84"/>
  <c r="V33" i="84"/>
  <c r="R34" i="84"/>
  <c r="J37" i="84"/>
  <c r="F38" i="84"/>
  <c r="R39" i="84"/>
  <c r="F41" i="84"/>
  <c r="V41" i="84"/>
  <c r="R42" i="84"/>
  <c r="J43" i="84"/>
  <c r="F46" i="84"/>
  <c r="J53" i="84"/>
  <c r="R57" i="84"/>
  <c r="J60" i="84"/>
  <c r="V16" i="85"/>
  <c r="J18" i="85"/>
  <c r="V18" i="85"/>
  <c r="L19" i="85"/>
  <c r="N19" i="85" s="1"/>
  <c r="J22" i="85"/>
  <c r="J26" i="85"/>
  <c r="R28" i="85"/>
  <c r="J32" i="85"/>
  <c r="R35" i="85"/>
  <c r="X15" i="86"/>
  <c r="V24" i="86"/>
  <c r="J28" i="86"/>
  <c r="V32" i="86"/>
  <c r="V36" i="86"/>
  <c r="V38" i="86"/>
  <c r="V43" i="86"/>
  <c r="N12" i="87"/>
  <c r="J14" i="87"/>
  <c r="R16" i="87"/>
  <c r="J19" i="87"/>
  <c r="F39" i="87"/>
  <c r="J44" i="87"/>
  <c r="J50" i="87"/>
  <c r="F16" i="84"/>
  <c r="V16" i="84"/>
  <c r="J18" i="84"/>
  <c r="V18" i="84"/>
  <c r="V22" i="84"/>
  <c r="R23" i="84"/>
  <c r="J26" i="84"/>
  <c r="F27" i="84"/>
  <c r="R28" i="84"/>
  <c r="J30" i="84"/>
  <c r="F31" i="84"/>
  <c r="V34" i="84"/>
  <c r="R35" i="84"/>
  <c r="J38" i="84"/>
  <c r="V42" i="84"/>
  <c r="F48" i="84"/>
  <c r="F50" i="84"/>
  <c r="X12" i="85"/>
  <c r="F20" i="85"/>
  <c r="R21" i="85"/>
  <c r="R24" i="85"/>
  <c r="J15" i="86"/>
  <c r="P18" i="86"/>
  <c r="R20" i="86"/>
  <c r="V21" i="86"/>
  <c r="R22" i="86"/>
  <c r="J23" i="86"/>
  <c r="R27" i="86"/>
  <c r="R66" i="87"/>
  <c r="R59" i="87"/>
  <c r="R34" i="87"/>
  <c r="R22" i="87"/>
  <c r="R54" i="87"/>
  <c r="R45" i="87"/>
  <c r="R42" i="87"/>
  <c r="R48" i="87"/>
  <c r="R32" i="87"/>
  <c r="R28" i="87"/>
  <c r="R20" i="87"/>
  <c r="R51" i="87"/>
  <c r="R47" i="87"/>
  <c r="R44" i="87"/>
  <c r="R39" i="87"/>
  <c r="R31" i="87"/>
  <c r="R27" i="87"/>
  <c r="R63" i="87"/>
  <c r="R57" i="87"/>
  <c r="R50" i="87"/>
  <c r="R38" i="87"/>
  <c r="R30" i="87"/>
  <c r="R26" i="87"/>
  <c r="R19" i="87"/>
  <c r="R53" i="87"/>
  <c r="R46" i="87"/>
  <c r="R41" i="87"/>
  <c r="R37" i="87"/>
  <c r="R25" i="87"/>
  <c r="R49" i="87"/>
  <c r="R36" i="87"/>
  <c r="R29" i="87"/>
  <c r="R24" i="87"/>
  <c r="D16" i="87"/>
  <c r="F25" i="87"/>
  <c r="F47" i="87"/>
  <c r="X25" i="88"/>
  <c r="Z25" i="88" s="1"/>
  <c r="F21" i="88"/>
  <c r="D23" i="88"/>
  <c r="T91" i="88"/>
  <c r="J26" i="88"/>
  <c r="V28" i="88"/>
  <c r="J32" i="88"/>
  <c r="F33" i="88"/>
  <c r="V36" i="88"/>
  <c r="V40" i="88"/>
  <c r="J44" i="88"/>
  <c r="F45" i="88"/>
  <c r="F49" i="88"/>
  <c r="F52" i="88"/>
  <c r="V52" i="88"/>
  <c r="J54" i="88"/>
  <c r="F57" i="88"/>
  <c r="F60" i="88"/>
  <c r="V61" i="88"/>
  <c r="J63" i="88"/>
  <c r="F64" i="88"/>
  <c r="J67" i="88"/>
  <c r="V72" i="88"/>
  <c r="J80" i="88"/>
  <c r="F87" i="91"/>
  <c r="F84" i="91"/>
  <c r="F80" i="91"/>
  <c r="F75" i="91"/>
  <c r="F79" i="91"/>
  <c r="F70" i="91"/>
  <c r="F66" i="91"/>
  <c r="F63" i="91"/>
  <c r="F58" i="91"/>
  <c r="F55" i="91"/>
  <c r="F50" i="91"/>
  <c r="F47" i="91"/>
  <c r="F90" i="91"/>
  <c r="F77" i="91"/>
  <c r="F73" i="91"/>
  <c r="F69" i="91"/>
  <c r="F65" i="91"/>
  <c r="F60" i="91"/>
  <c r="F57" i="91"/>
  <c r="F52" i="91"/>
  <c r="F49" i="91"/>
  <c r="F45" i="91"/>
  <c r="F94" i="91"/>
  <c r="F88" i="91"/>
  <c r="F83" i="91"/>
  <c r="F76" i="91"/>
  <c r="F72" i="91"/>
  <c r="F68" i="91"/>
  <c r="F85" i="91"/>
  <c r="F82" i="91"/>
  <c r="F62" i="91"/>
  <c r="F51" i="91"/>
  <c r="F48" i="91"/>
  <c r="F39" i="91"/>
  <c r="F35" i="91"/>
  <c r="F27" i="91"/>
  <c r="F18" i="91"/>
  <c r="F64" i="91"/>
  <c r="F38" i="91"/>
  <c r="F34" i="91"/>
  <c r="F53" i="91"/>
  <c r="F33" i="91"/>
  <c r="D23" i="91"/>
  <c r="F23" i="91" s="1"/>
  <c r="F21" i="91"/>
  <c r="F86" i="91"/>
  <c r="F81" i="91"/>
  <c r="F78" i="91"/>
  <c r="F71" i="91"/>
  <c r="F67" i="91"/>
  <c r="F56" i="91"/>
  <c r="F54" i="91"/>
  <c r="F32" i="91"/>
  <c r="F20" i="91"/>
  <c r="L12" i="91"/>
  <c r="N12" i="91" s="1"/>
  <c r="F74" i="91"/>
  <c r="F59" i="91"/>
  <c r="F31" i="91"/>
  <c r="F26" i="91"/>
  <c r="F25" i="91"/>
  <c r="F19" i="91"/>
  <c r="F43" i="91"/>
  <c r="F42" i="91"/>
  <c r="F37" i="91"/>
  <c r="F30" i="91"/>
  <c r="F44" i="91"/>
  <c r="F41" i="91"/>
  <c r="F29" i="91"/>
  <c r="F28" i="91"/>
  <c r="F61" i="91"/>
  <c r="F46" i="91"/>
  <c r="F36" i="91"/>
  <c r="P12" i="88"/>
  <c r="J21" i="88"/>
  <c r="F23" i="88"/>
  <c r="V23" i="88"/>
  <c r="J25" i="88"/>
  <c r="V25" i="88"/>
  <c r="V29" i="88"/>
  <c r="J33" i="88"/>
  <c r="F34" i="88"/>
  <c r="F38" i="88"/>
  <c r="V41" i="88"/>
  <c r="J45" i="88"/>
  <c r="F46" i="88"/>
  <c r="J49" i="88"/>
  <c r="V53" i="88"/>
  <c r="J57" i="88"/>
  <c r="N66" i="88"/>
  <c r="J71" i="88"/>
  <c r="J83" i="88"/>
  <c r="X84" i="88"/>
  <c r="L86" i="88"/>
  <c r="Z91" i="90"/>
  <c r="X91" i="90"/>
  <c r="V86" i="88"/>
  <c r="V78" i="88"/>
  <c r="V74" i="88"/>
  <c r="V62" i="88"/>
  <c r="V77" i="88"/>
  <c r="V73" i="88"/>
  <c r="V69" i="88"/>
  <c r="V89" i="88"/>
  <c r="V83" i="88"/>
  <c r="V75" i="88"/>
  <c r="V71" i="88"/>
  <c r="V67" i="88"/>
  <c r="V82" i="88"/>
  <c r="V70" i="88"/>
  <c r="V66" i="88"/>
  <c r="V85" i="88"/>
  <c r="V81" i="88"/>
  <c r="V84" i="88"/>
  <c r="V80" i="88"/>
  <c r="F18" i="88"/>
  <c r="V18" i="88"/>
  <c r="H23" i="88"/>
  <c r="F27" i="88"/>
  <c r="V30" i="88"/>
  <c r="J34" i="88"/>
  <c r="F35" i="88"/>
  <c r="J38" i="88"/>
  <c r="F39" i="88"/>
  <c r="V42" i="88"/>
  <c r="J46" i="88"/>
  <c r="F47" i="88"/>
  <c r="F50" i="88"/>
  <c r="V50" i="88"/>
  <c r="J52" i="88"/>
  <c r="F55" i="88"/>
  <c r="F58" i="88"/>
  <c r="V58" i="88"/>
  <c r="J60" i="88"/>
  <c r="J66" i="88"/>
  <c r="Z84" i="88"/>
  <c r="V87" i="88"/>
  <c r="X14" i="89"/>
  <c r="P12" i="89"/>
  <c r="D36" i="89"/>
  <c r="D93" i="90"/>
  <c r="F93" i="90" s="1"/>
  <c r="L23" i="90"/>
  <c r="V19" i="88"/>
  <c r="J27" i="88"/>
  <c r="F28" i="88"/>
  <c r="V31" i="88"/>
  <c r="J35" i="88"/>
  <c r="F36" i="88"/>
  <c r="J39" i="88"/>
  <c r="F40" i="88"/>
  <c r="V43" i="88"/>
  <c r="J47" i="88"/>
  <c r="V51" i="88"/>
  <c r="J55" i="88"/>
  <c r="V59" i="88"/>
  <c r="F61" i="88"/>
  <c r="V63" i="88"/>
  <c r="J70" i="88"/>
  <c r="F76" i="88"/>
  <c r="T36" i="89"/>
  <c r="Z19" i="89"/>
  <c r="X14" i="90"/>
  <c r="Z14" i="90" s="1"/>
  <c r="P12" i="90"/>
  <c r="T93" i="90"/>
  <c r="J18" i="88"/>
  <c r="V20" i="88"/>
  <c r="J28" i="88"/>
  <c r="F29" i="88"/>
  <c r="V32" i="88"/>
  <c r="J36" i="88"/>
  <c r="J40" i="88"/>
  <c r="F41" i="88"/>
  <c r="V44" i="88"/>
  <c r="F48" i="88"/>
  <c r="V48" i="88"/>
  <c r="J50" i="88"/>
  <c r="F53" i="88"/>
  <c r="F56" i="88"/>
  <c r="V56" i="88"/>
  <c r="J58" i="88"/>
  <c r="J61" i="88"/>
  <c r="V65" i="88"/>
  <c r="L75" i="88"/>
  <c r="N75" i="88" s="1"/>
  <c r="L89" i="88"/>
  <c r="V91" i="88"/>
  <c r="L21" i="89"/>
  <c r="L25" i="90"/>
  <c r="N25" i="90" s="1"/>
  <c r="F86" i="88"/>
  <c r="F83" i="88"/>
  <c r="F71" i="88"/>
  <c r="F67" i="88"/>
  <c r="F62" i="88"/>
  <c r="F82" i="88"/>
  <c r="F89" i="88"/>
  <c r="F80" i="88"/>
  <c r="F75" i="88"/>
  <c r="F93" i="88"/>
  <c r="F87" i="88"/>
  <c r="F79" i="88"/>
  <c r="F70" i="88"/>
  <c r="F66" i="88"/>
  <c r="F78" i="88"/>
  <c r="F74" i="88"/>
  <c r="F84" i="88"/>
  <c r="F77" i="88"/>
  <c r="F73" i="88"/>
  <c r="F69" i="88"/>
  <c r="F65" i="88"/>
  <c r="J29" i="88"/>
  <c r="F30" i="88"/>
  <c r="V33" i="88"/>
  <c r="F37" i="88"/>
  <c r="V37" i="88"/>
  <c r="J41" i="88"/>
  <c r="F42" i="88"/>
  <c r="V45" i="88"/>
  <c r="V49" i="88"/>
  <c r="V57" i="88"/>
  <c r="F72" i="88"/>
  <c r="V79" i="88"/>
  <c r="J82" i="88"/>
  <c r="J64" i="88"/>
  <c r="J89" i="88"/>
  <c r="J85" i="88"/>
  <c r="J81" i="88"/>
  <c r="J75" i="88"/>
  <c r="J93" i="88"/>
  <c r="J87" i="88"/>
  <c r="J79" i="88"/>
  <c r="J84" i="88"/>
  <c r="J78" i="88"/>
  <c r="J74" i="88"/>
  <c r="J77" i="88"/>
  <c r="J73" i="88"/>
  <c r="J69" i="88"/>
  <c r="J65" i="88"/>
  <c r="J86" i="88"/>
  <c r="J76" i="88"/>
  <c r="J72" i="88"/>
  <c r="J68" i="88"/>
  <c r="F19" i="88"/>
  <c r="F25" i="88"/>
  <c r="F26" i="88"/>
  <c r="V26" i="88"/>
  <c r="J30" i="88"/>
  <c r="F31" i="88"/>
  <c r="V34" i="88"/>
  <c r="V38" i="88"/>
  <c r="J42" i="88"/>
  <c r="F43" i="88"/>
  <c r="V46" i="88"/>
  <c r="J48" i="88"/>
  <c r="F51" i="88"/>
  <c r="F54" i="88"/>
  <c r="V54" i="88"/>
  <c r="J56" i="88"/>
  <c r="F59" i="88"/>
  <c r="J62" i="88"/>
  <c r="Z64" i="88"/>
  <c r="F68" i="88"/>
  <c r="V76" i="88"/>
  <c r="F81" i="88"/>
  <c r="V93" i="88"/>
  <c r="X21" i="89"/>
  <c r="X25" i="90"/>
  <c r="Z25" i="90" s="1"/>
  <c r="N37" i="90"/>
  <c r="J17" i="89"/>
  <c r="F19" i="89"/>
  <c r="V19" i="89"/>
  <c r="J21" i="89"/>
  <c r="V21" i="89"/>
  <c r="F26" i="89"/>
  <c r="F29" i="89"/>
  <c r="V29" i="89"/>
  <c r="J31" i="89"/>
  <c r="J21" i="90"/>
  <c r="F23" i="90"/>
  <c r="V23" i="90"/>
  <c r="J25" i="90"/>
  <c r="V25" i="90"/>
  <c r="V29" i="90"/>
  <c r="J33" i="90"/>
  <c r="F34" i="90"/>
  <c r="F38" i="90"/>
  <c r="V41" i="90"/>
  <c r="J47" i="90"/>
  <c r="F50" i="90"/>
  <c r="N52" i="90"/>
  <c r="L52" i="90"/>
  <c r="J53" i="90"/>
  <c r="J54" i="90"/>
  <c r="V57" i="90"/>
  <c r="F89" i="90"/>
  <c r="X25" i="91"/>
  <c r="Z25" i="91" s="1"/>
  <c r="H19" i="89"/>
  <c r="L19" i="89" s="1"/>
  <c r="F23" i="89"/>
  <c r="J26" i="89"/>
  <c r="V30" i="89"/>
  <c r="J36" i="89"/>
  <c r="J43" i="89"/>
  <c r="V87" i="90"/>
  <c r="V83" i="90"/>
  <c r="V63" i="90"/>
  <c r="V55" i="90"/>
  <c r="V86" i="90"/>
  <c r="V82" i="90"/>
  <c r="V62" i="90"/>
  <c r="V54" i="90"/>
  <c r="V95" i="90"/>
  <c r="V89" i="90"/>
  <c r="V81" i="90"/>
  <c r="V73" i="90"/>
  <c r="V65" i="90"/>
  <c r="V88" i="90"/>
  <c r="V80" i="90"/>
  <c r="V72" i="90"/>
  <c r="V68" i="90"/>
  <c r="V64" i="90"/>
  <c r="V56" i="90"/>
  <c r="V48" i="90"/>
  <c r="V44" i="90"/>
  <c r="V79" i="90"/>
  <c r="V75" i="90"/>
  <c r="V71" i="90"/>
  <c r="V67" i="90"/>
  <c r="V59" i="90"/>
  <c r="V51" i="90"/>
  <c r="V91" i="90"/>
  <c r="V85" i="90"/>
  <c r="V77" i="90"/>
  <c r="V69" i="90"/>
  <c r="F18" i="90"/>
  <c r="V18" i="90"/>
  <c r="H23" i="90"/>
  <c r="F27" i="90"/>
  <c r="V30" i="90"/>
  <c r="J34" i="90"/>
  <c r="F35" i="90"/>
  <c r="J38" i="90"/>
  <c r="F39" i="90"/>
  <c r="V42" i="90"/>
  <c r="F49" i="90"/>
  <c r="N50" i="90"/>
  <c r="J52" i="90"/>
  <c r="Z58" i="90"/>
  <c r="Z62" i="90"/>
  <c r="F65" i="90"/>
  <c r="X66" i="90"/>
  <c r="L69" i="90"/>
  <c r="V70" i="90"/>
  <c r="J72" i="90"/>
  <c r="V74" i="90"/>
  <c r="F81" i="90"/>
  <c r="J19" i="89"/>
  <c r="J23" i="89"/>
  <c r="F24" i="89"/>
  <c r="F27" i="89"/>
  <c r="V27" i="89"/>
  <c r="J29" i="89"/>
  <c r="F32" i="89"/>
  <c r="F38" i="89"/>
  <c r="J23" i="90"/>
  <c r="J27" i="90"/>
  <c r="F28" i="90"/>
  <c r="V31" i="90"/>
  <c r="J35" i="90"/>
  <c r="F36" i="90"/>
  <c r="J39" i="90"/>
  <c r="F40" i="90"/>
  <c r="V43" i="90"/>
  <c r="V45" i="90"/>
  <c r="J49" i="90"/>
  <c r="V58" i="90"/>
  <c r="J65" i="90"/>
  <c r="N69" i="90"/>
  <c r="F76" i="90"/>
  <c r="V84" i="90"/>
  <c r="F16" i="89"/>
  <c r="J24" i="89"/>
  <c r="V28" i="89"/>
  <c r="J32" i="89"/>
  <c r="F34" i="89"/>
  <c r="V34" i="89"/>
  <c r="J38" i="89"/>
  <c r="V40" i="89"/>
  <c r="J18" i="90"/>
  <c r="J28" i="90"/>
  <c r="F29" i="90"/>
  <c r="V32" i="90"/>
  <c r="J36" i="90"/>
  <c r="J40" i="90"/>
  <c r="F41" i="90"/>
  <c r="V46" i="90"/>
  <c r="V53" i="90"/>
  <c r="F60" i="90"/>
  <c r="F63" i="90"/>
  <c r="N64" i="90"/>
  <c r="Z66" i="90"/>
  <c r="V78" i="90"/>
  <c r="F83" i="90"/>
  <c r="N18" i="91"/>
  <c r="L18" i="91"/>
  <c r="J18" i="91"/>
  <c r="F25" i="89"/>
  <c r="F30" i="89"/>
  <c r="F80" i="90"/>
  <c r="F72" i="90"/>
  <c r="F68" i="90"/>
  <c r="F86" i="90"/>
  <c r="F79" i="90"/>
  <c r="F75" i="90"/>
  <c r="F71" i="90"/>
  <c r="F67" i="90"/>
  <c r="F62" i="90"/>
  <c r="F59" i="90"/>
  <c r="F54" i="90"/>
  <c r="F51" i="90"/>
  <c r="F78" i="90"/>
  <c r="F70" i="90"/>
  <c r="F88" i="90"/>
  <c r="F85" i="90"/>
  <c r="F77" i="90"/>
  <c r="F64" i="90"/>
  <c r="F61" i="90"/>
  <c r="F56" i="90"/>
  <c r="F53" i="90"/>
  <c r="F48" i="90"/>
  <c r="F84" i="90"/>
  <c r="F91" i="90"/>
  <c r="F82" i="90"/>
  <c r="F69" i="90"/>
  <c r="J29" i="90"/>
  <c r="F30" i="90"/>
  <c r="V33" i="90"/>
  <c r="F37" i="90"/>
  <c r="V37" i="90"/>
  <c r="J41" i="90"/>
  <c r="F42" i="90"/>
  <c r="V47" i="90"/>
  <c r="V49" i="90"/>
  <c r="V52" i="90"/>
  <c r="F58" i="90"/>
  <c r="N60" i="90"/>
  <c r="J61" i="90"/>
  <c r="J62" i="90"/>
  <c r="V66" i="90"/>
  <c r="J68" i="90"/>
  <c r="Z69" i="90"/>
  <c r="F74" i="90"/>
  <c r="J76" i="90"/>
  <c r="F87" i="90"/>
  <c r="L91" i="90"/>
  <c r="Z50" i="91"/>
  <c r="J16" i="89"/>
  <c r="F21" i="89"/>
  <c r="F22" i="89"/>
  <c r="V26" i="89"/>
  <c r="J30" i="89"/>
  <c r="J34" i="89"/>
  <c r="J40" i="89"/>
  <c r="J79" i="90"/>
  <c r="J75" i="90"/>
  <c r="J71" i="90"/>
  <c r="J67" i="90"/>
  <c r="J59" i="90"/>
  <c r="J51" i="90"/>
  <c r="J88" i="90"/>
  <c r="J78" i="90"/>
  <c r="J70" i="90"/>
  <c r="J64" i="90"/>
  <c r="J56" i="90"/>
  <c r="J48" i="90"/>
  <c r="J85" i="90"/>
  <c r="J77" i="90"/>
  <c r="J84" i="90"/>
  <c r="J74" i="90"/>
  <c r="J66" i="90"/>
  <c r="J58" i="90"/>
  <c r="J50" i="90"/>
  <c r="J91" i="90"/>
  <c r="J87" i="90"/>
  <c r="J83" i="90"/>
  <c r="J69" i="90"/>
  <c r="J63" i="90"/>
  <c r="J55" i="90"/>
  <c r="J95" i="90"/>
  <c r="J89" i="90"/>
  <c r="J81" i="90"/>
  <c r="J73" i="90"/>
  <c r="F19" i="90"/>
  <c r="F25" i="90"/>
  <c r="F26" i="90"/>
  <c r="J30" i="90"/>
  <c r="F31" i="90"/>
  <c r="V34" i="90"/>
  <c r="V38" i="90"/>
  <c r="J42" i="90"/>
  <c r="F43" i="90"/>
  <c r="Z50" i="90"/>
  <c r="X50" i="90"/>
  <c r="F57" i="90"/>
  <c r="J60" i="90"/>
  <c r="J86" i="90"/>
  <c r="L12" i="89"/>
  <c r="V23" i="89"/>
  <c r="F28" i="89"/>
  <c r="L12" i="90"/>
  <c r="N12" i="90" s="1"/>
  <c r="J19" i="90"/>
  <c r="F20" i="90"/>
  <c r="V27" i="90"/>
  <c r="J31" i="90"/>
  <c r="F32" i="90"/>
  <c r="V35" i="90"/>
  <c r="J37" i="90"/>
  <c r="V39" i="90"/>
  <c r="J43" i="90"/>
  <c r="F44" i="90"/>
  <c r="F45" i="90"/>
  <c r="F46" i="90"/>
  <c r="Z48" i="90"/>
  <c r="V50" i="90"/>
  <c r="J57" i="90"/>
  <c r="F73" i="90"/>
  <c r="J82" i="90"/>
  <c r="Z88" i="90"/>
  <c r="Z85" i="91"/>
  <c r="X15" i="92"/>
  <c r="R15" i="92"/>
  <c r="Z53" i="92"/>
  <c r="V72" i="91"/>
  <c r="V76" i="91"/>
  <c r="F70" i="92"/>
  <c r="F61" i="92"/>
  <c r="F57" i="92"/>
  <c r="F54" i="92"/>
  <c r="F38" i="92"/>
  <c r="F73" i="92"/>
  <c r="F67" i="92"/>
  <c r="F69" i="92"/>
  <c r="F66" i="92"/>
  <c r="F62" i="92"/>
  <c r="F58" i="92"/>
  <c r="F68" i="92"/>
  <c r="F64" i="92"/>
  <c r="F55" i="92"/>
  <c r="F52" i="92"/>
  <c r="F48" i="92"/>
  <c r="F40" i="92"/>
  <c r="F39" i="92"/>
  <c r="F26" i="92"/>
  <c r="L12" i="92"/>
  <c r="N12" i="92" s="1"/>
  <c r="F63" i="92"/>
  <c r="F53" i="92"/>
  <c r="F47" i="92"/>
  <c r="F37" i="92"/>
  <c r="F25" i="92"/>
  <c r="F20" i="92"/>
  <c r="F19" i="92"/>
  <c r="F56" i="92"/>
  <c r="F44" i="92"/>
  <c r="F36" i="92"/>
  <c r="F31" i="92"/>
  <c r="F24" i="92"/>
  <c r="F43" i="92"/>
  <c r="F35" i="92"/>
  <c r="F23" i="92"/>
  <c r="F77" i="92"/>
  <c r="F65" i="92"/>
  <c r="F59" i="92"/>
  <c r="F51" i="92"/>
  <c r="F34" i="92"/>
  <c r="F30" i="92"/>
  <c r="F22" i="92"/>
  <c r="F60" i="92"/>
  <c r="F45" i="92"/>
  <c r="F42" i="92"/>
  <c r="F32" i="92"/>
  <c r="F28" i="92"/>
  <c r="F41" i="92"/>
  <c r="F27" i="92"/>
  <c r="N19" i="92"/>
  <c r="F33" i="92"/>
  <c r="L76" i="90"/>
  <c r="N76" i="90" s="1"/>
  <c r="J79" i="91"/>
  <c r="J63" i="91"/>
  <c r="J55" i="91"/>
  <c r="J47" i="91"/>
  <c r="J90" i="91"/>
  <c r="J86" i="91"/>
  <c r="J78" i="91"/>
  <c r="J74" i="91"/>
  <c r="J60" i="91"/>
  <c r="J52" i="91"/>
  <c r="J46" i="91"/>
  <c r="J94" i="91"/>
  <c r="J88" i="91"/>
  <c r="J76" i="91"/>
  <c r="J72" i="91"/>
  <c r="J68" i="91"/>
  <c r="J62" i="91"/>
  <c r="J54" i="91"/>
  <c r="J85" i="91"/>
  <c r="J71" i="91"/>
  <c r="J67" i="91"/>
  <c r="J59" i="91"/>
  <c r="J87" i="91"/>
  <c r="J81" i="91"/>
  <c r="J75" i="91"/>
  <c r="J61" i="91"/>
  <c r="J53" i="91"/>
  <c r="V26" i="91"/>
  <c r="J30" i="91"/>
  <c r="V34" i="91"/>
  <c r="V38" i="91"/>
  <c r="J42" i="91"/>
  <c r="J43" i="91"/>
  <c r="V46" i="91"/>
  <c r="X50" i="91"/>
  <c r="X52" i="91"/>
  <c r="Z52" i="91" s="1"/>
  <c r="V61" i="91"/>
  <c r="V68" i="91"/>
  <c r="L75" i="91"/>
  <c r="N75" i="91" s="1"/>
  <c r="J82" i="91"/>
  <c r="J83" i="91"/>
  <c r="Z31" i="92"/>
  <c r="J19" i="91"/>
  <c r="V27" i="91"/>
  <c r="J31" i="91"/>
  <c r="V35" i="91"/>
  <c r="J37" i="91"/>
  <c r="V39" i="91"/>
  <c r="V64" i="91"/>
  <c r="X83" i="91"/>
  <c r="Z83" i="91" s="1"/>
  <c r="L87" i="91"/>
  <c r="V88" i="91"/>
  <c r="V94" i="91"/>
  <c r="D17" i="92"/>
  <c r="Z20" i="92"/>
  <c r="X55" i="92"/>
  <c r="Z55" i="92" s="1"/>
  <c r="T92" i="91"/>
  <c r="V92" i="91" s="1"/>
  <c r="J26" i="91"/>
  <c r="V28" i="91"/>
  <c r="J32" i="91"/>
  <c r="V36" i="91"/>
  <c r="V40" i="91"/>
  <c r="V44" i="91"/>
  <c r="V48" i="91"/>
  <c r="N54" i="91"/>
  <c r="N56" i="91"/>
  <c r="J57" i="91"/>
  <c r="J58" i="91"/>
  <c r="V62" i="91"/>
  <c r="F15" i="92"/>
  <c r="J17" i="92"/>
  <c r="H75" i="92"/>
  <c r="J75" i="92" s="1"/>
  <c r="Z19" i="92"/>
  <c r="F29" i="92"/>
  <c r="F50" i="92"/>
  <c r="V51" i="92"/>
  <c r="P12" i="91"/>
  <c r="J21" i="91"/>
  <c r="V23" i="91"/>
  <c r="J25" i="91"/>
  <c r="V25" i="91"/>
  <c r="V29" i="91"/>
  <c r="J33" i="91"/>
  <c r="V41" i="91"/>
  <c r="L54" i="91"/>
  <c r="J56" i="91"/>
  <c r="J66" i="91"/>
  <c r="J70" i="91"/>
  <c r="J73" i="91"/>
  <c r="V74" i="91"/>
  <c r="Z75" i="91"/>
  <c r="J77" i="91"/>
  <c r="V77" i="92"/>
  <c r="V65" i="92"/>
  <c r="V61" i="92"/>
  <c r="V57" i="92"/>
  <c r="V49" i="92"/>
  <c r="V41" i="92"/>
  <c r="V68" i="92"/>
  <c r="V64" i="92"/>
  <c r="V67" i="92"/>
  <c r="V70" i="92"/>
  <c r="V73" i="92"/>
  <c r="V69" i="92"/>
  <c r="V53" i="92"/>
  <c r="V59" i="92"/>
  <c r="V55" i="92"/>
  <c r="V58" i="92"/>
  <c r="V48" i="92"/>
  <c r="V33" i="92"/>
  <c r="V29" i="92"/>
  <c r="V21" i="92"/>
  <c r="V50" i="92"/>
  <c r="V32" i="92"/>
  <c r="V28" i="92"/>
  <c r="V20" i="92"/>
  <c r="V45" i="92"/>
  <c r="V44" i="92"/>
  <c r="V31" i="92"/>
  <c r="V27" i="92"/>
  <c r="V60" i="92"/>
  <c r="V40" i="92"/>
  <c r="V39" i="92"/>
  <c r="V26" i="92"/>
  <c r="Z12" i="92"/>
  <c r="V66" i="92"/>
  <c r="V63" i="92"/>
  <c r="V38" i="92"/>
  <c r="V37" i="92"/>
  <c r="V25" i="92"/>
  <c r="X12" i="92"/>
  <c r="V62" i="92"/>
  <c r="V52" i="92"/>
  <c r="V43" i="92"/>
  <c r="V35" i="92"/>
  <c r="V23" i="92"/>
  <c r="V19" i="92"/>
  <c r="V17" i="92"/>
  <c r="V72" i="92"/>
  <c r="V56" i="92"/>
  <c r="V42" i="92"/>
  <c r="V34" i="92"/>
  <c r="V30" i="92"/>
  <c r="V22" i="92"/>
  <c r="F21" i="92"/>
  <c r="F46" i="92"/>
  <c r="V47" i="92"/>
  <c r="V87" i="91"/>
  <c r="V75" i="91"/>
  <c r="V71" i="91"/>
  <c r="V67" i="91"/>
  <c r="V59" i="91"/>
  <c r="V51" i="91"/>
  <c r="V43" i="91"/>
  <c r="V82" i="91"/>
  <c r="V70" i="91"/>
  <c r="V66" i="91"/>
  <c r="V58" i="91"/>
  <c r="V50" i="91"/>
  <c r="V42" i="91"/>
  <c r="V90" i="91"/>
  <c r="V84" i="91"/>
  <c r="V80" i="91"/>
  <c r="V60" i="91"/>
  <c r="V52" i="91"/>
  <c r="V83" i="91"/>
  <c r="V79" i="91"/>
  <c r="V63" i="91"/>
  <c r="V85" i="91"/>
  <c r="V77" i="91"/>
  <c r="V73" i="91"/>
  <c r="V69" i="91"/>
  <c r="V65" i="91"/>
  <c r="V57" i="91"/>
  <c r="V49" i="91"/>
  <c r="V45" i="91"/>
  <c r="V18" i="91"/>
  <c r="H23" i="91"/>
  <c r="V30" i="91"/>
  <c r="J34" i="91"/>
  <c r="J38" i="91"/>
  <c r="V55" i="91"/>
  <c r="X58" i="91"/>
  <c r="Z58" i="91" s="1"/>
  <c r="J65" i="91"/>
  <c r="J69" i="91"/>
  <c r="V78" i="91"/>
  <c r="J80" i="91"/>
  <c r="V81" i="91"/>
  <c r="V86" i="91"/>
  <c r="L90" i="91"/>
  <c r="T75" i="92"/>
  <c r="V75" i="92" s="1"/>
  <c r="F49" i="92"/>
  <c r="Z21" i="93"/>
  <c r="X21" i="93"/>
  <c r="J20" i="92"/>
  <c r="R23" i="92"/>
  <c r="J26" i="92"/>
  <c r="R35" i="92"/>
  <c r="J39" i="92"/>
  <c r="J40" i="92"/>
  <c r="L42" i="92"/>
  <c r="N42" i="92" s="1"/>
  <c r="R43" i="92"/>
  <c r="R46" i="92"/>
  <c r="R51" i="92"/>
  <c r="R52" i="92"/>
  <c r="J53" i="92"/>
  <c r="N67" i="92"/>
  <c r="L15" i="95"/>
  <c r="D18" i="95"/>
  <c r="R66" i="92"/>
  <c r="R62" i="92"/>
  <c r="R58" i="92"/>
  <c r="R55" i="92"/>
  <c r="R50" i="92"/>
  <c r="R77" i="92"/>
  <c r="R72" i="92"/>
  <c r="R65" i="92"/>
  <c r="R68" i="92"/>
  <c r="R70" i="92"/>
  <c r="R67" i="92"/>
  <c r="R63" i="92"/>
  <c r="R54" i="92"/>
  <c r="R69" i="92"/>
  <c r="R60" i="92"/>
  <c r="R56" i="92"/>
  <c r="R53" i="92"/>
  <c r="J19" i="92"/>
  <c r="R24" i="92"/>
  <c r="J27" i="92"/>
  <c r="R36" i="92"/>
  <c r="J41" i="92"/>
  <c r="R47" i="92"/>
  <c r="J48" i="92"/>
  <c r="Z51" i="92"/>
  <c r="N61" i="92"/>
  <c r="X34" i="93"/>
  <c r="L15" i="94"/>
  <c r="D18" i="94"/>
  <c r="X21" i="94"/>
  <c r="J21" i="92"/>
  <c r="R26" i="92"/>
  <c r="J29" i="92"/>
  <c r="R31" i="92"/>
  <c r="J33" i="92"/>
  <c r="R39" i="92"/>
  <c r="R40" i="92"/>
  <c r="J42" i="92"/>
  <c r="R44" i="92"/>
  <c r="J49" i="92"/>
  <c r="J50" i="92"/>
  <c r="Z67" i="92"/>
  <c r="N69" i="92"/>
  <c r="V36" i="93"/>
  <c r="V33" i="93"/>
  <c r="V29" i="93"/>
  <c r="V25" i="93"/>
  <c r="T18" i="93"/>
  <c r="V15" i="93"/>
  <c r="V22" i="93"/>
  <c r="V20" i="93"/>
  <c r="V16" i="93"/>
  <c r="Z12" i="93"/>
  <c r="V34" i="93"/>
  <c r="V31" i="93"/>
  <c r="V27" i="93"/>
  <c r="X12" i="93"/>
  <c r="V21" i="93"/>
  <c r="X15" i="95"/>
  <c r="R20" i="92"/>
  <c r="J22" i="92"/>
  <c r="R27" i="92"/>
  <c r="J30" i="92"/>
  <c r="J34" i="92"/>
  <c r="R41" i="92"/>
  <c r="R45" i="92"/>
  <c r="J46" i="92"/>
  <c r="J58" i="92"/>
  <c r="J59" i="92"/>
  <c r="R61" i="92"/>
  <c r="X69" i="92"/>
  <c r="V18" i="93"/>
  <c r="L25" i="93"/>
  <c r="X25" i="94"/>
  <c r="X29" i="94"/>
  <c r="X33" i="94"/>
  <c r="J23" i="92"/>
  <c r="R28" i="92"/>
  <c r="R32" i="92"/>
  <c r="J35" i="92"/>
  <c r="J43" i="92"/>
  <c r="L46" i="92"/>
  <c r="N46" i="92" s="1"/>
  <c r="R48" i="92"/>
  <c r="J52" i="92"/>
  <c r="N57" i="92"/>
  <c r="J64" i="92"/>
  <c r="Z69" i="92"/>
  <c r="V24" i="93"/>
  <c r="J34" i="94"/>
  <c r="J31" i="94"/>
  <c r="J27" i="94"/>
  <c r="J24" i="94"/>
  <c r="J21" i="94"/>
  <c r="J18" i="94"/>
  <c r="J36" i="94"/>
  <c r="J33" i="94"/>
  <c r="J29" i="94"/>
  <c r="J25" i="94"/>
  <c r="H18" i="94"/>
  <c r="J15" i="94"/>
  <c r="L12" i="94"/>
  <c r="J21" i="95"/>
  <c r="J18" i="95"/>
  <c r="J36" i="95"/>
  <c r="J33" i="95"/>
  <c r="J29" i="95"/>
  <c r="J25" i="95"/>
  <c r="H18" i="95"/>
  <c r="J15" i="95"/>
  <c r="J22" i="95"/>
  <c r="N12" i="95"/>
  <c r="L12" i="95"/>
  <c r="J34" i="95"/>
  <c r="J31" i="95"/>
  <c r="J27" i="95"/>
  <c r="Z15" i="95"/>
  <c r="T18" i="95"/>
  <c r="J24" i="95"/>
  <c r="J67" i="92"/>
  <c r="J63" i="92"/>
  <c r="J51" i="92"/>
  <c r="J45" i="92"/>
  <c r="J73" i="92"/>
  <c r="J60" i="92"/>
  <c r="J56" i="92"/>
  <c r="J69" i="92"/>
  <c r="J66" i="92"/>
  <c r="J62" i="92"/>
  <c r="J77" i="92"/>
  <c r="J65" i="92"/>
  <c r="J55" i="92"/>
  <c r="J61" i="92"/>
  <c r="J57" i="92"/>
  <c r="P17" i="92"/>
  <c r="R19" i="92"/>
  <c r="R21" i="92"/>
  <c r="J24" i="92"/>
  <c r="R29" i="92"/>
  <c r="R33" i="92"/>
  <c r="J36" i="92"/>
  <c r="R42" i="92"/>
  <c r="X44" i="92"/>
  <c r="Z44" i="92" s="1"/>
  <c r="R49" i="92"/>
  <c r="L57" i="92"/>
  <c r="R59" i="92"/>
  <c r="J72" i="92"/>
  <c r="R73" i="92"/>
  <c r="N12" i="94"/>
  <c r="J15" i="92"/>
  <c r="R17" i="92"/>
  <c r="R22" i="92"/>
  <c r="J25" i="92"/>
  <c r="R30" i="92"/>
  <c r="J31" i="92"/>
  <c r="R34" i="92"/>
  <c r="J37" i="92"/>
  <c r="J38" i="92"/>
  <c r="J44" i="92"/>
  <c r="J47" i="92"/>
  <c r="N53" i="92"/>
  <c r="J54" i="92"/>
  <c r="R64" i="92"/>
  <c r="J70" i="92"/>
  <c r="L29" i="93"/>
  <c r="J20" i="94"/>
  <c r="J22" i="94"/>
  <c r="L25" i="94"/>
  <c r="L29" i="94"/>
  <c r="L33" i="94"/>
  <c r="J15" i="93"/>
  <c r="H18" i="93"/>
  <c r="L18" i="93" s="1"/>
  <c r="J25" i="93"/>
  <c r="R27" i="93"/>
  <c r="J29" i="93"/>
  <c r="R31" i="93"/>
  <c r="J33" i="93"/>
  <c r="R34" i="93"/>
  <c r="J36" i="93"/>
  <c r="V15" i="94"/>
  <c r="T18" i="94"/>
  <c r="R21" i="94"/>
  <c r="V25" i="94"/>
  <c r="V29" i="94"/>
  <c r="V33" i="94"/>
  <c r="V36" i="94"/>
  <c r="P18" i="95"/>
  <c r="R25" i="95"/>
  <c r="R29" i="95"/>
  <c r="R33" i="95"/>
  <c r="R36" i="95"/>
  <c r="J21" i="93"/>
  <c r="V21" i="94"/>
  <c r="R27" i="94"/>
  <c r="R31" i="94"/>
  <c r="R34" i="94"/>
  <c r="F25" i="95"/>
  <c r="V25" i="95"/>
  <c r="F29" i="95"/>
  <c r="V29" i="95"/>
  <c r="F33" i="95"/>
  <c r="V33" i="95"/>
  <c r="F36" i="95"/>
  <c r="V36" i="95"/>
  <c r="J24" i="93"/>
  <c r="R16" i="94"/>
  <c r="R20" i="94"/>
  <c r="V24" i="94"/>
  <c r="X25" i="95"/>
  <c r="X29" i="95"/>
  <c r="X33" i="95"/>
  <c r="R15" i="93"/>
  <c r="P18" i="93"/>
  <c r="R25" i="93"/>
  <c r="J27" i="93"/>
  <c r="R29" i="93"/>
  <c r="J31" i="93"/>
  <c r="R33" i="93"/>
  <c r="J34" i="93"/>
  <c r="R36" i="93"/>
  <c r="X12" i="94"/>
  <c r="F27" i="94"/>
  <c r="V27" i="94"/>
  <c r="F31" i="94"/>
  <c r="V31" i="94"/>
  <c r="V34" i="94"/>
  <c r="F21" i="95"/>
  <c r="V21" i="95"/>
  <c r="R27" i="95"/>
  <c r="R31" i="95"/>
  <c r="J16" i="93"/>
  <c r="R18" i="93"/>
  <c r="J20" i="93"/>
  <c r="Z12" i="94"/>
  <c r="V16" i="94"/>
  <c r="R22" i="94"/>
  <c r="F24" i="95"/>
  <c r="V24" i="95"/>
  <c r="D72" i="92"/>
  <c r="L72" i="92" s="1"/>
  <c r="N72" i="92" s="1"/>
  <c r="R15" i="94"/>
  <c r="P18" i="94"/>
  <c r="R25" i="94"/>
  <c r="R29" i="94"/>
  <c r="R33" i="94"/>
  <c r="X12" i="95"/>
  <c r="F27" i="95"/>
  <c r="V27" i="95"/>
  <c r="F31" i="95"/>
  <c r="V31" i="95"/>
  <c r="N18" i="29" l="1"/>
  <c r="L18" i="4"/>
  <c r="L18" i="41"/>
  <c r="T31" i="29"/>
  <c r="Z31" i="29" s="1"/>
  <c r="Z18" i="10"/>
  <c r="T31" i="10"/>
  <c r="T36" i="10" s="1"/>
  <c r="Z36" i="10" s="1"/>
  <c r="X18" i="40"/>
  <c r="Z18" i="37"/>
  <c r="X27" i="38"/>
  <c r="Z18" i="43"/>
  <c r="H31" i="16"/>
  <c r="N31" i="16" s="1"/>
  <c r="N18" i="52"/>
  <c r="Z18" i="38"/>
  <c r="L18" i="37"/>
  <c r="N18" i="16"/>
  <c r="L27" i="29"/>
  <c r="L18" i="10"/>
  <c r="L18" i="29"/>
  <c r="Z18" i="19"/>
  <c r="X18" i="32"/>
  <c r="Z18" i="13"/>
  <c r="Z18" i="23"/>
  <c r="Z27" i="23"/>
  <c r="L18" i="43"/>
  <c r="L18" i="7"/>
  <c r="N18" i="43"/>
  <c r="X18" i="13"/>
  <c r="L18" i="23"/>
  <c r="H27" i="23"/>
  <c r="L27" i="23" s="1"/>
  <c r="D27" i="10"/>
  <c r="D31" i="10" s="1"/>
  <c r="N18" i="8"/>
  <c r="N18" i="26"/>
  <c r="H31" i="8"/>
  <c r="L18" i="26"/>
  <c r="Z18" i="41"/>
  <c r="X18" i="33"/>
  <c r="Z18" i="29"/>
  <c r="H27" i="41"/>
  <c r="L27" i="41" s="1"/>
  <c r="N18" i="41"/>
  <c r="Z18" i="33"/>
  <c r="T31" i="33"/>
  <c r="T36" i="33" s="1"/>
  <c r="Z36" i="33" s="1"/>
  <c r="H27" i="10"/>
  <c r="N18" i="10"/>
  <c r="P53" i="84"/>
  <c r="X16" i="84"/>
  <c r="H97" i="82"/>
  <c r="P61" i="61"/>
  <c r="L25" i="45"/>
  <c r="N25" i="45" s="1"/>
  <c r="D102" i="45"/>
  <c r="P27" i="17"/>
  <c r="X18" i="17"/>
  <c r="H27" i="95"/>
  <c r="N18" i="95"/>
  <c r="L18" i="94"/>
  <c r="D27" i="94"/>
  <c r="L18" i="95"/>
  <c r="D27" i="95"/>
  <c r="R91" i="90"/>
  <c r="R84" i="90"/>
  <c r="R69" i="90"/>
  <c r="R87" i="90"/>
  <c r="R83" i="90"/>
  <c r="R76" i="90"/>
  <c r="R63" i="90"/>
  <c r="R60" i="90"/>
  <c r="R55" i="90"/>
  <c r="R52" i="90"/>
  <c r="R82" i="90"/>
  <c r="R95" i="90"/>
  <c r="R89" i="90"/>
  <c r="R86" i="90"/>
  <c r="R81" i="90"/>
  <c r="R73" i="90"/>
  <c r="R65" i="90"/>
  <c r="R62" i="90"/>
  <c r="R57" i="90"/>
  <c r="R54" i="90"/>
  <c r="R49" i="90"/>
  <c r="R45" i="90"/>
  <c r="R80" i="90"/>
  <c r="R72" i="90"/>
  <c r="R68" i="90"/>
  <c r="R78" i="90"/>
  <c r="R70" i="90"/>
  <c r="R61" i="90"/>
  <c r="R59" i="90"/>
  <c r="R40" i="90"/>
  <c r="R36" i="90"/>
  <c r="R28" i="90"/>
  <c r="R23" i="90"/>
  <c r="R88" i="90"/>
  <c r="R77" i="90"/>
  <c r="R75" i="90"/>
  <c r="R71" i="90"/>
  <c r="R64" i="90"/>
  <c r="R48" i="90"/>
  <c r="R39" i="90"/>
  <c r="R35" i="90"/>
  <c r="R27" i="90"/>
  <c r="R25" i="90"/>
  <c r="P23" i="90"/>
  <c r="R50" i="90"/>
  <c r="R38" i="90"/>
  <c r="R34" i="90"/>
  <c r="R47" i="90"/>
  <c r="R33" i="90"/>
  <c r="R26" i="90"/>
  <c r="R21" i="90"/>
  <c r="R66" i="90"/>
  <c r="R53" i="90"/>
  <c r="R51" i="90"/>
  <c r="R46" i="90"/>
  <c r="R44" i="90"/>
  <c r="R37" i="90"/>
  <c r="R32" i="90"/>
  <c r="R20" i="90"/>
  <c r="X12" i="90"/>
  <c r="Z12" i="90" s="1"/>
  <c r="R56" i="90"/>
  <c r="R43" i="90"/>
  <c r="R31" i="90"/>
  <c r="R19" i="90"/>
  <c r="R85" i="90"/>
  <c r="R79" i="90"/>
  <c r="R67" i="90"/>
  <c r="R58" i="90"/>
  <c r="R42" i="90"/>
  <c r="R30" i="90"/>
  <c r="R41" i="90"/>
  <c r="R18" i="90"/>
  <c r="R74" i="90"/>
  <c r="R29" i="90"/>
  <c r="D97" i="90"/>
  <c r="R93" i="88"/>
  <c r="R87" i="88"/>
  <c r="R84" i="88"/>
  <c r="R79" i="88"/>
  <c r="R63" i="88"/>
  <c r="R60" i="88"/>
  <c r="R78" i="88"/>
  <c r="R74" i="88"/>
  <c r="R76" i="88"/>
  <c r="R72" i="88"/>
  <c r="R68" i="88"/>
  <c r="R83" i="88"/>
  <c r="R71" i="88"/>
  <c r="R67" i="88"/>
  <c r="R89" i="88"/>
  <c r="R82" i="88"/>
  <c r="R75" i="88"/>
  <c r="R85" i="88"/>
  <c r="R81" i="88"/>
  <c r="R70" i="88"/>
  <c r="R66" i="88"/>
  <c r="R55" i="88"/>
  <c r="R52" i="88"/>
  <c r="R47" i="88"/>
  <c r="R39" i="88"/>
  <c r="R35" i="88"/>
  <c r="R27" i="88"/>
  <c r="R25" i="88"/>
  <c r="P23" i="88"/>
  <c r="R69" i="88"/>
  <c r="R64" i="88"/>
  <c r="R46" i="88"/>
  <c r="R38" i="88"/>
  <c r="R34" i="88"/>
  <c r="R86" i="88"/>
  <c r="R77" i="88"/>
  <c r="R73" i="88"/>
  <c r="R57" i="88"/>
  <c r="R54" i="88"/>
  <c r="R49" i="88"/>
  <c r="R45" i="88"/>
  <c r="R33" i="88"/>
  <c r="R26" i="88"/>
  <c r="R21" i="88"/>
  <c r="R65" i="88"/>
  <c r="R44" i="88"/>
  <c r="R37" i="88"/>
  <c r="R32" i="88"/>
  <c r="R20" i="88"/>
  <c r="X12" i="88"/>
  <c r="Z12" i="88" s="1"/>
  <c r="R80" i="88"/>
  <c r="R62" i="88"/>
  <c r="R59" i="88"/>
  <c r="R56" i="88"/>
  <c r="R51" i="88"/>
  <c r="R48" i="88"/>
  <c r="R43" i="88"/>
  <c r="R31" i="88"/>
  <c r="R19" i="88"/>
  <c r="R42" i="88"/>
  <c r="R30" i="88"/>
  <c r="R58" i="88"/>
  <c r="R53" i="88"/>
  <c r="R50" i="88"/>
  <c r="R41" i="88"/>
  <c r="R29" i="88"/>
  <c r="R18" i="88"/>
  <c r="R61" i="88"/>
  <c r="R23" i="88"/>
  <c r="R40" i="88"/>
  <c r="R36" i="88"/>
  <c r="R28" i="88"/>
  <c r="T95" i="88"/>
  <c r="X16" i="85"/>
  <c r="P28" i="85"/>
  <c r="H90" i="83"/>
  <c r="J20" i="83"/>
  <c r="N16" i="79"/>
  <c r="H32" i="79"/>
  <c r="P80" i="78"/>
  <c r="X16" i="78"/>
  <c r="D60" i="84"/>
  <c r="P32" i="80"/>
  <c r="N26" i="77"/>
  <c r="H30" i="77"/>
  <c r="D30" i="77"/>
  <c r="L26" i="77"/>
  <c r="H90" i="74"/>
  <c r="T39" i="79"/>
  <c r="R23" i="72"/>
  <c r="R19" i="72"/>
  <c r="P19" i="72"/>
  <c r="R27" i="72"/>
  <c r="R17" i="72"/>
  <c r="R21" i="72"/>
  <c r="X12" i="72"/>
  <c r="Z12" i="72" s="1"/>
  <c r="R16" i="72"/>
  <c r="D32" i="72"/>
  <c r="T81" i="69"/>
  <c r="D66" i="60"/>
  <c r="L63" i="60"/>
  <c r="L18" i="52"/>
  <c r="D27" i="52"/>
  <c r="P31" i="54"/>
  <c r="L18" i="46"/>
  <c r="D27" i="46"/>
  <c r="L18" i="44"/>
  <c r="D27" i="44"/>
  <c r="T27" i="40"/>
  <c r="Z18" i="40"/>
  <c r="D75" i="48"/>
  <c r="L17" i="48"/>
  <c r="R80" i="31"/>
  <c r="R75" i="31"/>
  <c r="R60" i="31"/>
  <c r="R53" i="31"/>
  <c r="R48" i="31"/>
  <c r="R44" i="31"/>
  <c r="R32" i="31"/>
  <c r="R20" i="31"/>
  <c r="R71" i="31"/>
  <c r="R63" i="31"/>
  <c r="R59" i="31"/>
  <c r="R56" i="31"/>
  <c r="R43" i="31"/>
  <c r="R36" i="31"/>
  <c r="R31" i="31"/>
  <c r="R70" i="31"/>
  <c r="R50" i="31"/>
  <c r="R47" i="31"/>
  <c r="R42" i="31"/>
  <c r="R30" i="31"/>
  <c r="R19" i="31"/>
  <c r="R73" i="31"/>
  <c r="R69" i="31"/>
  <c r="R65" i="31"/>
  <c r="R62" i="31"/>
  <c r="R58" i="31"/>
  <c r="R41" i="31"/>
  <c r="R29" i="31"/>
  <c r="R76" i="31"/>
  <c r="R68" i="31"/>
  <c r="R52" i="31"/>
  <c r="R49" i="31"/>
  <c r="R40" i="31"/>
  <c r="R28" i="31"/>
  <c r="R23" i="31"/>
  <c r="R72" i="31"/>
  <c r="R67" i="31"/>
  <c r="R64" i="31"/>
  <c r="R55" i="31"/>
  <c r="R39" i="31"/>
  <c r="R35" i="31"/>
  <c r="R27" i="31"/>
  <c r="R25" i="31"/>
  <c r="P23" i="31"/>
  <c r="R54" i="31"/>
  <c r="R51" i="31"/>
  <c r="R46" i="31"/>
  <c r="R38" i="31"/>
  <c r="R34" i="31"/>
  <c r="X12" i="31"/>
  <c r="Z12" i="31" s="1"/>
  <c r="R66" i="31"/>
  <c r="R61" i="31"/>
  <c r="R57" i="31"/>
  <c r="R45" i="31"/>
  <c r="R37" i="31"/>
  <c r="R33" i="31"/>
  <c r="R26" i="31"/>
  <c r="R21" i="31"/>
  <c r="P36" i="38"/>
  <c r="D129" i="34"/>
  <c r="L42" i="34"/>
  <c r="N42" i="34" s="1"/>
  <c r="H82" i="31"/>
  <c r="X18" i="24"/>
  <c r="P27" i="24"/>
  <c r="H27" i="27"/>
  <c r="L27" i="27" s="1"/>
  <c r="N18" i="27"/>
  <c r="X18" i="16"/>
  <c r="P27" i="16"/>
  <c r="H151" i="15"/>
  <c r="X27" i="13"/>
  <c r="P31" i="13"/>
  <c r="T151" i="15"/>
  <c r="D31" i="7"/>
  <c r="D27" i="8"/>
  <c r="L18" i="8"/>
  <c r="T27" i="7"/>
  <c r="X27" i="7" s="1"/>
  <c r="Z18" i="7"/>
  <c r="T178" i="3"/>
  <c r="H31" i="6"/>
  <c r="N26" i="6"/>
  <c r="T26" i="6"/>
  <c r="Z22" i="6"/>
  <c r="T27" i="95"/>
  <c r="Z18" i="95"/>
  <c r="L16" i="80"/>
  <c r="D28" i="80"/>
  <c r="T90" i="74"/>
  <c r="P32" i="75"/>
  <c r="X22" i="75"/>
  <c r="H77" i="71"/>
  <c r="P77" i="71"/>
  <c r="X20" i="71"/>
  <c r="Z16" i="61"/>
  <c r="T57" i="61"/>
  <c r="X57" i="61" s="1"/>
  <c r="X18" i="37"/>
  <c r="P27" i="37"/>
  <c r="Z27" i="13"/>
  <c r="T31" i="13"/>
  <c r="H36" i="16"/>
  <c r="N36" i="16" s="1"/>
  <c r="H27" i="94"/>
  <c r="N18" i="94"/>
  <c r="T96" i="91"/>
  <c r="D91" i="88"/>
  <c r="L23" i="88"/>
  <c r="T60" i="84"/>
  <c r="T89" i="73"/>
  <c r="V21" i="73"/>
  <c r="R20" i="71"/>
  <c r="D81" i="69"/>
  <c r="L31" i="69"/>
  <c r="X23" i="68"/>
  <c r="Z23" i="68" s="1"/>
  <c r="P78" i="68"/>
  <c r="T101" i="62"/>
  <c r="Z17" i="62"/>
  <c r="D59" i="64"/>
  <c r="L22" i="64"/>
  <c r="H75" i="56"/>
  <c r="N16" i="56"/>
  <c r="X18" i="53"/>
  <c r="P27" i="53"/>
  <c r="H27" i="53"/>
  <c r="N18" i="53"/>
  <c r="D27" i="50"/>
  <c r="L18" i="50"/>
  <c r="D27" i="47"/>
  <c r="L18" i="47"/>
  <c r="H27" i="46"/>
  <c r="N18" i="46"/>
  <c r="P27" i="41"/>
  <c r="X18" i="41"/>
  <c r="H27" i="40"/>
  <c r="N18" i="40"/>
  <c r="T27" i="35"/>
  <c r="Z18" i="35"/>
  <c r="L18" i="40"/>
  <c r="D27" i="40"/>
  <c r="X18" i="35"/>
  <c r="P27" i="35"/>
  <c r="T118" i="42"/>
  <c r="D31" i="37"/>
  <c r="T36" i="37"/>
  <c r="Z36" i="37" s="1"/>
  <c r="Z31" i="37"/>
  <c r="H136" i="34"/>
  <c r="X18" i="30"/>
  <c r="P27" i="30"/>
  <c r="R116" i="36"/>
  <c r="P31" i="32"/>
  <c r="F75" i="31"/>
  <c r="H36" i="29"/>
  <c r="N36" i="29" s="1"/>
  <c r="N31" i="29"/>
  <c r="F89" i="25"/>
  <c r="F87" i="25"/>
  <c r="F82" i="25"/>
  <c r="F69" i="25"/>
  <c r="F66" i="25"/>
  <c r="F54" i="25"/>
  <c r="F46" i="25"/>
  <c r="F42" i="25"/>
  <c r="F22" i="25"/>
  <c r="L12" i="25"/>
  <c r="N12" i="25" s="1"/>
  <c r="F85" i="25"/>
  <c r="F65" i="25"/>
  <c r="F60" i="25"/>
  <c r="F57" i="25"/>
  <c r="F53" i="25"/>
  <c r="F41" i="25"/>
  <c r="D31" i="25"/>
  <c r="F29" i="25"/>
  <c r="F21" i="25"/>
  <c r="F91" i="25"/>
  <c r="F75" i="25"/>
  <c r="F71" i="25"/>
  <c r="F68" i="25"/>
  <c r="F52" i="25"/>
  <c r="F40" i="25"/>
  <c r="F28" i="25"/>
  <c r="F20" i="25"/>
  <c r="F88" i="25"/>
  <c r="F78" i="25"/>
  <c r="F62" i="25"/>
  <c r="F59" i="25"/>
  <c r="F51" i="25"/>
  <c r="F39" i="25"/>
  <c r="F34" i="25"/>
  <c r="F33" i="25"/>
  <c r="F27" i="25"/>
  <c r="F81" i="25"/>
  <c r="F74" i="25"/>
  <c r="F70" i="25"/>
  <c r="F50" i="25"/>
  <c r="F45" i="25"/>
  <c r="F38" i="25"/>
  <c r="F26" i="25"/>
  <c r="F95" i="25"/>
  <c r="F90" i="25"/>
  <c r="F84" i="25"/>
  <c r="F77" i="25"/>
  <c r="F73" i="25"/>
  <c r="F64" i="25"/>
  <c r="F61" i="25"/>
  <c r="F56" i="25"/>
  <c r="F49" i="25"/>
  <c r="F37" i="25"/>
  <c r="F25" i="25"/>
  <c r="F80" i="25"/>
  <c r="F76" i="25"/>
  <c r="F72" i="25"/>
  <c r="F67" i="25"/>
  <c r="F48" i="25"/>
  <c r="F44" i="25"/>
  <c r="F36" i="25"/>
  <c r="F24" i="25"/>
  <c r="F19" i="25"/>
  <c r="F23" i="25"/>
  <c r="F79" i="25"/>
  <c r="F47" i="25"/>
  <c r="F35" i="25"/>
  <c r="F58" i="25"/>
  <c r="F63" i="25"/>
  <c r="F55" i="25"/>
  <c r="F83" i="25"/>
  <c r="F43" i="25"/>
  <c r="L18" i="22"/>
  <c r="D27" i="22"/>
  <c r="R90" i="25"/>
  <c r="R74" i="25"/>
  <c r="R70" i="25"/>
  <c r="R67" i="25"/>
  <c r="R50" i="25"/>
  <c r="R38" i="25"/>
  <c r="R26" i="25"/>
  <c r="R19" i="25"/>
  <c r="R95" i="25"/>
  <c r="R77" i="25"/>
  <c r="R73" i="25"/>
  <c r="R61" i="25"/>
  <c r="R58" i="25"/>
  <c r="R49" i="25"/>
  <c r="R37" i="25"/>
  <c r="R25" i="25"/>
  <c r="R87" i="25"/>
  <c r="R80" i="25"/>
  <c r="R76" i="25"/>
  <c r="R72" i="25"/>
  <c r="R69" i="25"/>
  <c r="R48" i="25"/>
  <c r="R44" i="25"/>
  <c r="R36" i="25"/>
  <c r="R24" i="25"/>
  <c r="R89" i="25"/>
  <c r="R83" i="25"/>
  <c r="R79" i="25"/>
  <c r="R63" i="25"/>
  <c r="R60" i="25"/>
  <c r="R55" i="25"/>
  <c r="R47" i="25"/>
  <c r="R43" i="25"/>
  <c r="R35" i="25"/>
  <c r="R33" i="25"/>
  <c r="P31" i="25"/>
  <c r="R23" i="25"/>
  <c r="R82" i="25"/>
  <c r="R75" i="25"/>
  <c r="R71" i="25"/>
  <c r="R66" i="25"/>
  <c r="R54" i="25"/>
  <c r="R46" i="25"/>
  <c r="R42" i="25"/>
  <c r="R22" i="25"/>
  <c r="X12" i="25"/>
  <c r="Z12" i="25" s="1"/>
  <c r="R91" i="25"/>
  <c r="R85" i="25"/>
  <c r="R78" i="25"/>
  <c r="R65" i="25"/>
  <c r="R62" i="25"/>
  <c r="R57" i="25"/>
  <c r="R53" i="25"/>
  <c r="R41" i="25"/>
  <c r="R34" i="25"/>
  <c r="R29" i="25"/>
  <c r="R21" i="25"/>
  <c r="R88" i="25"/>
  <c r="R81" i="25"/>
  <c r="R68" i="25"/>
  <c r="R52" i="25"/>
  <c r="R45" i="25"/>
  <c r="R40" i="25"/>
  <c r="R28" i="25"/>
  <c r="R20" i="25"/>
  <c r="R59" i="25"/>
  <c r="R39" i="25"/>
  <c r="R56" i="25"/>
  <c r="R84" i="25"/>
  <c r="R64" i="25"/>
  <c r="R51" i="25"/>
  <c r="R27" i="25"/>
  <c r="D31" i="27"/>
  <c r="P27" i="23"/>
  <c r="X18" i="23"/>
  <c r="H27" i="13"/>
  <c r="N18" i="13"/>
  <c r="T159" i="18"/>
  <c r="T31" i="19"/>
  <c r="Z27" i="19"/>
  <c r="T82" i="31"/>
  <c r="H27" i="5"/>
  <c r="N18" i="5"/>
  <c r="T27" i="5"/>
  <c r="Z18" i="5"/>
  <c r="T27" i="11"/>
  <c r="X27" i="11" s="1"/>
  <c r="Z18" i="11"/>
  <c r="D31" i="4"/>
  <c r="T97" i="90"/>
  <c r="H59" i="87"/>
  <c r="N16" i="87"/>
  <c r="H94" i="76"/>
  <c r="J23" i="76"/>
  <c r="P122" i="36"/>
  <c r="X27" i="36"/>
  <c r="D36" i="29"/>
  <c r="L31" i="29"/>
  <c r="T27" i="8"/>
  <c r="Z18" i="8"/>
  <c r="X18" i="4"/>
  <c r="P27" i="4"/>
  <c r="R185" i="3"/>
  <c r="R173" i="3"/>
  <c r="R168" i="3"/>
  <c r="R157" i="3"/>
  <c r="R153" i="3"/>
  <c r="R142" i="3"/>
  <c r="R137" i="3"/>
  <c r="R133" i="3"/>
  <c r="R129" i="3"/>
  <c r="R125" i="3"/>
  <c r="R122" i="3"/>
  <c r="R117" i="3"/>
  <c r="R114" i="3"/>
  <c r="R110" i="3"/>
  <c r="R98" i="3"/>
  <c r="R170" i="3"/>
  <c r="R164" i="3"/>
  <c r="R175" i="3"/>
  <c r="R163" i="3"/>
  <c r="R156" i="3"/>
  <c r="R151" i="3"/>
  <c r="R136" i="3"/>
  <c r="R127" i="3"/>
  <c r="R124" i="3"/>
  <c r="R119" i="3"/>
  <c r="R116" i="3"/>
  <c r="R184" i="3"/>
  <c r="R169" i="3"/>
  <c r="R174" i="3"/>
  <c r="R165" i="3"/>
  <c r="R161" i="3"/>
  <c r="R148" i="3"/>
  <c r="R144" i="3"/>
  <c r="R140" i="3"/>
  <c r="R112" i="3"/>
  <c r="R108" i="3"/>
  <c r="R105" i="3"/>
  <c r="R100" i="3"/>
  <c r="R96" i="3"/>
  <c r="R171" i="3"/>
  <c r="R155" i="3"/>
  <c r="R147" i="3"/>
  <c r="R143" i="3"/>
  <c r="R139" i="3"/>
  <c r="R135" i="3"/>
  <c r="R123" i="3"/>
  <c r="R120" i="3"/>
  <c r="R115" i="3"/>
  <c r="R111" i="3"/>
  <c r="R150" i="3"/>
  <c r="R149" i="3"/>
  <c r="R145" i="3"/>
  <c r="R118" i="3"/>
  <c r="R109" i="3"/>
  <c r="R102" i="3"/>
  <c r="R99" i="3"/>
  <c r="R94" i="3"/>
  <c r="R91" i="3"/>
  <c r="R82" i="3"/>
  <c r="R70" i="3"/>
  <c r="R58" i="3"/>
  <c r="R50" i="3"/>
  <c r="R42" i="3"/>
  <c r="R34" i="3"/>
  <c r="R37" i="3"/>
  <c r="R180" i="3"/>
  <c r="R166" i="3"/>
  <c r="R154" i="3"/>
  <c r="R146" i="3"/>
  <c r="R134" i="3"/>
  <c r="R81" i="3"/>
  <c r="R77" i="3"/>
  <c r="R69" i="3"/>
  <c r="R57" i="3"/>
  <c r="R49" i="3"/>
  <c r="R41" i="3"/>
  <c r="R33" i="3"/>
  <c r="R39" i="3"/>
  <c r="R31" i="3"/>
  <c r="R45" i="3"/>
  <c r="R176" i="3"/>
  <c r="R128" i="3"/>
  <c r="R93" i="3"/>
  <c r="R88" i="3"/>
  <c r="R80" i="3"/>
  <c r="R76" i="3"/>
  <c r="R68" i="3"/>
  <c r="R66" i="3"/>
  <c r="P64" i="3"/>
  <c r="R56" i="3"/>
  <c r="R48" i="3"/>
  <c r="R40" i="3"/>
  <c r="R32" i="3"/>
  <c r="R47" i="3"/>
  <c r="R103" i="3"/>
  <c r="R121" i="3"/>
  <c r="R97" i="3"/>
  <c r="R87" i="3"/>
  <c r="R79" i="3"/>
  <c r="R75" i="3"/>
  <c r="R55" i="3"/>
  <c r="R78" i="3"/>
  <c r="R73" i="3"/>
  <c r="R61" i="3"/>
  <c r="R172" i="3"/>
  <c r="R131" i="3"/>
  <c r="R107" i="3"/>
  <c r="R106" i="3"/>
  <c r="R95" i="3"/>
  <c r="R90" i="3"/>
  <c r="R86" i="3"/>
  <c r="R74" i="3"/>
  <c r="R67" i="3"/>
  <c r="R62" i="3"/>
  <c r="R54" i="3"/>
  <c r="R46" i="3"/>
  <c r="R38" i="3"/>
  <c r="R30" i="3"/>
  <c r="X12" i="3"/>
  <c r="Z12" i="3" s="1"/>
  <c r="R159" i="3"/>
  <c r="R152" i="3"/>
  <c r="R132" i="3"/>
  <c r="R113" i="3"/>
  <c r="R29" i="3"/>
  <c r="R141" i="3"/>
  <c r="R130" i="3"/>
  <c r="R126" i="3"/>
  <c r="R104" i="3"/>
  <c r="R92" i="3"/>
  <c r="R89" i="3"/>
  <c r="R84" i="3"/>
  <c r="R72" i="3"/>
  <c r="R60" i="3"/>
  <c r="R52" i="3"/>
  <c r="R44" i="3"/>
  <c r="R36" i="3"/>
  <c r="R28" i="3"/>
  <c r="R27" i="3"/>
  <c r="R53" i="3"/>
  <c r="R162" i="3"/>
  <c r="R160" i="3"/>
  <c r="R158" i="3"/>
  <c r="R138" i="3"/>
  <c r="R101" i="3"/>
  <c r="R83" i="3"/>
  <c r="R71" i="3"/>
  <c r="R59" i="3"/>
  <c r="R51" i="3"/>
  <c r="R43" i="3"/>
  <c r="R35" i="3"/>
  <c r="R85" i="3"/>
  <c r="H79" i="92"/>
  <c r="D40" i="89"/>
  <c r="F36" i="89"/>
  <c r="H91" i="88"/>
  <c r="N23" i="88"/>
  <c r="F29" i="86"/>
  <c r="F26" i="86"/>
  <c r="F21" i="86"/>
  <c r="F20" i="86"/>
  <c r="L12" i="86"/>
  <c r="F31" i="86"/>
  <c r="F28" i="86"/>
  <c r="F23" i="86"/>
  <c r="F15" i="86"/>
  <c r="F30" i="86"/>
  <c r="F25" i="86"/>
  <c r="F22" i="86"/>
  <c r="F34" i="86"/>
  <c r="F38" i="86"/>
  <c r="F32" i="86"/>
  <c r="F27" i="86"/>
  <c r="F24" i="86"/>
  <c r="D18" i="86"/>
  <c r="F18" i="86" s="1"/>
  <c r="F16" i="86"/>
  <c r="R94" i="83"/>
  <c r="R84" i="83"/>
  <c r="R79" i="83"/>
  <c r="R75" i="83"/>
  <c r="R81" i="83"/>
  <c r="R97" i="83"/>
  <c r="R90" i="83"/>
  <c r="R83" i="83"/>
  <c r="R85" i="83"/>
  <c r="R82" i="83"/>
  <c r="R72" i="83"/>
  <c r="R64" i="83"/>
  <c r="R60" i="83"/>
  <c r="R56" i="83"/>
  <c r="R53" i="83"/>
  <c r="R40" i="83"/>
  <c r="R33" i="83"/>
  <c r="R28" i="83"/>
  <c r="X12" i="83"/>
  <c r="Z12" i="83" s="1"/>
  <c r="R71" i="83"/>
  <c r="R67" i="83"/>
  <c r="R63" i="83"/>
  <c r="R59" i="83"/>
  <c r="R47" i="83"/>
  <c r="R44" i="83"/>
  <c r="R39" i="83"/>
  <c r="R27" i="83"/>
  <c r="R16" i="83"/>
  <c r="R70" i="83"/>
  <c r="R62" i="83"/>
  <c r="R55" i="83"/>
  <c r="R50" i="83"/>
  <c r="R38" i="83"/>
  <c r="R26" i="83"/>
  <c r="R69" i="83"/>
  <c r="R66" i="83"/>
  <c r="R58" i="83"/>
  <c r="R49" i="83"/>
  <c r="R46" i="83"/>
  <c r="R37" i="83"/>
  <c r="R25" i="83"/>
  <c r="R20" i="83"/>
  <c r="R77" i="83"/>
  <c r="R61" i="83"/>
  <c r="R52" i="83"/>
  <c r="R36" i="83"/>
  <c r="R32" i="83"/>
  <c r="R24" i="83"/>
  <c r="R22" i="83"/>
  <c r="P20" i="83"/>
  <c r="R78" i="83"/>
  <c r="R68" i="83"/>
  <c r="R48" i="83"/>
  <c r="R43" i="83"/>
  <c r="R35" i="83"/>
  <c r="R31" i="83"/>
  <c r="R92" i="83"/>
  <c r="R80" i="83"/>
  <c r="R74" i="83"/>
  <c r="R54" i="83"/>
  <c r="R51" i="83"/>
  <c r="R42" i="83"/>
  <c r="R34" i="83"/>
  <c r="R30" i="83"/>
  <c r="R23" i="83"/>
  <c r="R18" i="83"/>
  <c r="R76" i="83"/>
  <c r="R29" i="83"/>
  <c r="R87" i="83"/>
  <c r="R88" i="83"/>
  <c r="R57" i="83"/>
  <c r="R65" i="83"/>
  <c r="R45" i="83"/>
  <c r="R17" i="83"/>
  <c r="R73" i="83"/>
  <c r="R41" i="83"/>
  <c r="D35" i="85"/>
  <c r="R88" i="76"/>
  <c r="R83" i="76"/>
  <c r="R79" i="76"/>
  <c r="R72" i="76"/>
  <c r="R78" i="76"/>
  <c r="R85" i="76"/>
  <c r="R82" i="76"/>
  <c r="R77" i="76"/>
  <c r="R96" i="76"/>
  <c r="R91" i="76"/>
  <c r="R87" i="76"/>
  <c r="R84" i="76"/>
  <c r="R75" i="76"/>
  <c r="R74" i="76"/>
  <c r="R89" i="76"/>
  <c r="R86" i="76"/>
  <c r="R81" i="76"/>
  <c r="R66" i="76"/>
  <c r="R54" i="76"/>
  <c r="R51" i="76"/>
  <c r="R46" i="76"/>
  <c r="R38" i="76"/>
  <c r="R34" i="76"/>
  <c r="R80" i="76"/>
  <c r="R70" i="76"/>
  <c r="R62" i="76"/>
  <c r="R57" i="76"/>
  <c r="R45" i="76"/>
  <c r="R37" i="76"/>
  <c r="R33" i="76"/>
  <c r="R26" i="76"/>
  <c r="R21" i="76"/>
  <c r="R65" i="76"/>
  <c r="R53" i="76"/>
  <c r="R48" i="76"/>
  <c r="R44" i="76"/>
  <c r="R32" i="76"/>
  <c r="R20" i="76"/>
  <c r="X12" i="76"/>
  <c r="Z12" i="76" s="1"/>
  <c r="R73" i="76"/>
  <c r="R59" i="76"/>
  <c r="R56" i="76"/>
  <c r="R43" i="76"/>
  <c r="R36" i="76"/>
  <c r="R31" i="76"/>
  <c r="R19" i="76"/>
  <c r="R50" i="76"/>
  <c r="R47" i="76"/>
  <c r="R42" i="76"/>
  <c r="R30" i="76"/>
  <c r="R92" i="76"/>
  <c r="R69" i="76"/>
  <c r="R61" i="76"/>
  <c r="R58" i="76"/>
  <c r="R41" i="76"/>
  <c r="R29" i="76"/>
  <c r="R18" i="76"/>
  <c r="R76" i="76"/>
  <c r="R68" i="76"/>
  <c r="R64" i="76"/>
  <c r="R52" i="76"/>
  <c r="R49" i="76"/>
  <c r="R40" i="76"/>
  <c r="R28" i="76"/>
  <c r="R71" i="76"/>
  <c r="R67" i="76"/>
  <c r="R63" i="76"/>
  <c r="R60" i="76"/>
  <c r="R55" i="76"/>
  <c r="R39" i="76"/>
  <c r="R35" i="76"/>
  <c r="R27" i="76"/>
  <c r="R25" i="76"/>
  <c r="P23" i="76"/>
  <c r="T30" i="77"/>
  <c r="Z26" i="77"/>
  <c r="R22" i="75"/>
  <c r="J20" i="71"/>
  <c r="R105" i="67"/>
  <c r="R108" i="67"/>
  <c r="R104" i="67"/>
  <c r="R99" i="67"/>
  <c r="R101" i="67"/>
  <c r="R97" i="67"/>
  <c r="R93" i="67"/>
  <c r="R107" i="67"/>
  <c r="R109" i="67"/>
  <c r="R103" i="67"/>
  <c r="R100" i="67"/>
  <c r="R114" i="67"/>
  <c r="R110" i="67"/>
  <c r="R96" i="67"/>
  <c r="R84" i="67"/>
  <c r="R81" i="67"/>
  <c r="R60" i="67"/>
  <c r="R53" i="67"/>
  <c r="R48" i="67"/>
  <c r="R36" i="67"/>
  <c r="R28" i="67"/>
  <c r="R20" i="67"/>
  <c r="R98" i="67"/>
  <c r="R95" i="67"/>
  <c r="R91" i="67"/>
  <c r="R87" i="67"/>
  <c r="R75" i="67"/>
  <c r="R72" i="67"/>
  <c r="R67" i="67"/>
  <c r="R64" i="67"/>
  <c r="R59" i="67"/>
  <c r="R47" i="67"/>
  <c r="R35" i="67"/>
  <c r="R27" i="67"/>
  <c r="R90" i="67"/>
  <c r="R86" i="67"/>
  <c r="R83" i="67"/>
  <c r="R78" i="67"/>
  <c r="R58" i="67"/>
  <c r="R46" i="67"/>
  <c r="R34" i="67"/>
  <c r="R26" i="67"/>
  <c r="R19" i="67"/>
  <c r="R89" i="67"/>
  <c r="R77" i="67"/>
  <c r="R74" i="67"/>
  <c r="R69" i="67"/>
  <c r="R66" i="67"/>
  <c r="R57" i="67"/>
  <c r="R45" i="67"/>
  <c r="R40" i="67"/>
  <c r="R33" i="67"/>
  <c r="R25" i="67"/>
  <c r="R85" i="67"/>
  <c r="R80" i="67"/>
  <c r="R56" i="67"/>
  <c r="R52" i="67"/>
  <c r="R44" i="67"/>
  <c r="R42" i="67"/>
  <c r="P40" i="67"/>
  <c r="R32" i="67"/>
  <c r="R24" i="67"/>
  <c r="R94" i="67"/>
  <c r="R92" i="67"/>
  <c r="R88" i="67"/>
  <c r="R76" i="67"/>
  <c r="R71" i="67"/>
  <c r="R68" i="67"/>
  <c r="R63" i="67"/>
  <c r="R55" i="67"/>
  <c r="R51" i="67"/>
  <c r="R31" i="67"/>
  <c r="R23" i="67"/>
  <c r="R102" i="67"/>
  <c r="R82" i="67"/>
  <c r="R79" i="67"/>
  <c r="R62" i="67"/>
  <c r="R54" i="67"/>
  <c r="R50" i="67"/>
  <c r="R43" i="67"/>
  <c r="R38" i="67"/>
  <c r="R30" i="67"/>
  <c r="R22" i="67"/>
  <c r="X12" i="67"/>
  <c r="Z12" i="67" s="1"/>
  <c r="R73" i="67"/>
  <c r="R70" i="67"/>
  <c r="R65" i="67"/>
  <c r="R61" i="67"/>
  <c r="R49" i="67"/>
  <c r="R37" i="67"/>
  <c r="R29" i="67"/>
  <c r="R21" i="67"/>
  <c r="T59" i="64"/>
  <c r="Z22" i="64"/>
  <c r="D101" i="62"/>
  <c r="L17" i="62"/>
  <c r="H67" i="59"/>
  <c r="L67" i="59" s="1"/>
  <c r="N16" i="59"/>
  <c r="D71" i="59"/>
  <c r="X16" i="61"/>
  <c r="Z16" i="54"/>
  <c r="T22" i="54"/>
  <c r="T35" i="55"/>
  <c r="L75" i="56"/>
  <c r="D79" i="56"/>
  <c r="X18" i="44"/>
  <c r="P27" i="44"/>
  <c r="H81" i="51"/>
  <c r="J31" i="51"/>
  <c r="H36" i="52"/>
  <c r="N36" i="52" s="1"/>
  <c r="N31" i="52"/>
  <c r="H27" i="44"/>
  <c r="N18" i="44"/>
  <c r="H27" i="49"/>
  <c r="N18" i="49"/>
  <c r="P31" i="47"/>
  <c r="L18" i="35"/>
  <c r="D27" i="35"/>
  <c r="T79" i="48"/>
  <c r="T109" i="45"/>
  <c r="V106" i="45"/>
  <c r="H27" i="32"/>
  <c r="N18" i="32"/>
  <c r="D78" i="31"/>
  <c r="L23" i="31"/>
  <c r="N23" i="31" s="1"/>
  <c r="X18" i="27"/>
  <c r="P27" i="27"/>
  <c r="L27" i="26"/>
  <c r="D31" i="26"/>
  <c r="H27" i="24"/>
  <c r="L27" i="24" s="1"/>
  <c r="N18" i="24"/>
  <c r="Z27" i="26"/>
  <c r="T31" i="26"/>
  <c r="L18" i="27"/>
  <c r="Z18" i="22"/>
  <c r="T27" i="22"/>
  <c r="X27" i="22" s="1"/>
  <c r="D31" i="24"/>
  <c r="H27" i="20"/>
  <c r="N18" i="20"/>
  <c r="X18" i="14"/>
  <c r="P27" i="14"/>
  <c r="L18" i="5"/>
  <c r="D27" i="5"/>
  <c r="L18" i="11"/>
  <c r="D27" i="11"/>
  <c r="X18" i="95"/>
  <c r="P27" i="95"/>
  <c r="D94" i="76"/>
  <c r="L23" i="76"/>
  <c r="N23" i="76" s="1"/>
  <c r="N31" i="69"/>
  <c r="H81" i="69"/>
  <c r="D68" i="57"/>
  <c r="L16" i="57"/>
  <c r="L18" i="32"/>
  <c r="D27" i="32"/>
  <c r="F90" i="21"/>
  <c r="F55" i="21"/>
  <c r="F50" i="21"/>
  <c r="F43" i="21"/>
  <c r="F31" i="21"/>
  <c r="F86" i="21"/>
  <c r="F73" i="21"/>
  <c r="F69" i="21"/>
  <c r="F66" i="21"/>
  <c r="F61" i="21"/>
  <c r="F58" i="21"/>
  <c r="F42" i="21"/>
  <c r="F38" i="21"/>
  <c r="F30" i="21"/>
  <c r="F92" i="21"/>
  <c r="F89" i="21"/>
  <c r="F85" i="21"/>
  <c r="F80" i="21"/>
  <c r="F76" i="21"/>
  <c r="F57" i="21"/>
  <c r="F52" i="21"/>
  <c r="F49" i="21"/>
  <c r="F41" i="21"/>
  <c r="F37" i="21"/>
  <c r="F29" i="21"/>
  <c r="F20" i="21"/>
  <c r="F88" i="21"/>
  <c r="F84" i="21"/>
  <c r="F72" i="21"/>
  <c r="F68" i="21"/>
  <c r="F63" i="21"/>
  <c r="F60" i="21"/>
  <c r="F48" i="21"/>
  <c r="F40" i="21"/>
  <c r="F36" i="21"/>
  <c r="L12" i="21"/>
  <c r="N12" i="21" s="1"/>
  <c r="F91" i="21"/>
  <c r="F83" i="21"/>
  <c r="F79" i="21"/>
  <c r="F75" i="21"/>
  <c r="F71" i="21"/>
  <c r="F54" i="21"/>
  <c r="F51" i="21"/>
  <c r="F47" i="21"/>
  <c r="F35" i="21"/>
  <c r="D25" i="21"/>
  <c r="F23" i="21"/>
  <c r="F95" i="21"/>
  <c r="F82" i="21"/>
  <c r="F78" i="21"/>
  <c r="F74" i="21"/>
  <c r="F70" i="21"/>
  <c r="F65" i="21"/>
  <c r="F62" i="21"/>
  <c r="F46" i="21"/>
  <c r="F34" i="21"/>
  <c r="F22" i="21"/>
  <c r="F99" i="21"/>
  <c r="F93" i="21"/>
  <c r="F81" i="21"/>
  <c r="F77" i="21"/>
  <c r="F56" i="21"/>
  <c r="F53" i="21"/>
  <c r="F45" i="21"/>
  <c r="F33" i="21"/>
  <c r="F28" i="21"/>
  <c r="F27" i="21"/>
  <c r="F21" i="21"/>
  <c r="F39" i="21"/>
  <c r="F44" i="21"/>
  <c r="F59" i="21"/>
  <c r="F67" i="21"/>
  <c r="F64" i="21"/>
  <c r="F87" i="21"/>
  <c r="F32" i="21"/>
  <c r="P75" i="92"/>
  <c r="X17" i="92"/>
  <c r="Z17" i="92" s="1"/>
  <c r="H92" i="91"/>
  <c r="J23" i="91"/>
  <c r="H93" i="90"/>
  <c r="N23" i="90"/>
  <c r="T40" i="89"/>
  <c r="Z36" i="89"/>
  <c r="R38" i="89"/>
  <c r="R32" i="89"/>
  <c r="R29" i="89"/>
  <c r="R24" i="89"/>
  <c r="R19" i="89"/>
  <c r="R23" i="89"/>
  <c r="R21" i="89"/>
  <c r="P19" i="89"/>
  <c r="R31" i="89"/>
  <c r="R26" i="89"/>
  <c r="R22" i="89"/>
  <c r="R17" i="89"/>
  <c r="R28" i="89"/>
  <c r="R25" i="89"/>
  <c r="X12" i="89"/>
  <c r="R34" i="89"/>
  <c r="R16" i="89"/>
  <c r="R30" i="89"/>
  <c r="R27" i="89"/>
  <c r="T59" i="87"/>
  <c r="Z16" i="87"/>
  <c r="H32" i="85"/>
  <c r="N28" i="85"/>
  <c r="D39" i="79"/>
  <c r="P36" i="79"/>
  <c r="X32" i="79"/>
  <c r="Z32" i="79" s="1"/>
  <c r="D35" i="81"/>
  <c r="P26" i="77"/>
  <c r="X16" i="77"/>
  <c r="P89" i="73"/>
  <c r="X21" i="73"/>
  <c r="Z21" i="73" s="1"/>
  <c r="J31" i="69"/>
  <c r="T77" i="71"/>
  <c r="Z20" i="71"/>
  <c r="L21" i="73"/>
  <c r="D89" i="73"/>
  <c r="F31" i="69"/>
  <c r="T82" i="68"/>
  <c r="R23" i="68"/>
  <c r="H93" i="65"/>
  <c r="F82" i="63"/>
  <c r="F71" i="63"/>
  <c r="F59" i="63"/>
  <c r="F54" i="63"/>
  <c r="F47" i="63"/>
  <c r="F35" i="63"/>
  <c r="F23" i="63"/>
  <c r="F18" i="63"/>
  <c r="F77" i="63"/>
  <c r="F74" i="63"/>
  <c r="F70" i="63"/>
  <c r="F65" i="63"/>
  <c r="F62" i="63"/>
  <c r="F46" i="63"/>
  <c r="F42" i="63"/>
  <c r="F34" i="63"/>
  <c r="F22" i="63"/>
  <c r="F81" i="63"/>
  <c r="F73" i="63"/>
  <c r="F61" i="63"/>
  <c r="F56" i="63"/>
  <c r="F53" i="63"/>
  <c r="F45" i="63"/>
  <c r="F41" i="63"/>
  <c r="F21" i="63"/>
  <c r="F85" i="63"/>
  <c r="F80" i="63"/>
  <c r="F76" i="63"/>
  <c r="F67" i="63"/>
  <c r="F64" i="63"/>
  <c r="F52" i="63"/>
  <c r="F44" i="63"/>
  <c r="F40" i="63"/>
  <c r="D30" i="63"/>
  <c r="F28" i="63"/>
  <c r="F20" i="63"/>
  <c r="L12" i="63"/>
  <c r="N12" i="63" s="1"/>
  <c r="F89" i="63"/>
  <c r="F83" i="63"/>
  <c r="F79" i="63"/>
  <c r="F58" i="63"/>
  <c r="F55" i="63"/>
  <c r="F51" i="63"/>
  <c r="F39" i="63"/>
  <c r="F27" i="63"/>
  <c r="F19" i="63"/>
  <c r="F78" i="63"/>
  <c r="F69" i="63"/>
  <c r="F66" i="63"/>
  <c r="F50" i="63"/>
  <c r="F38" i="63"/>
  <c r="F33" i="63"/>
  <c r="F32" i="63"/>
  <c r="F26" i="63"/>
  <c r="F72" i="63"/>
  <c r="F60" i="63"/>
  <c r="F57" i="63"/>
  <c r="F49" i="63"/>
  <c r="F37" i="63"/>
  <c r="F25" i="63"/>
  <c r="F75" i="63"/>
  <c r="F68" i="63"/>
  <c r="F63" i="63"/>
  <c r="F48" i="63"/>
  <c r="F43" i="63"/>
  <c r="F36" i="63"/>
  <c r="F24" i="63"/>
  <c r="H57" i="61"/>
  <c r="N16" i="61"/>
  <c r="X16" i="59"/>
  <c r="P67" i="59"/>
  <c r="T63" i="60"/>
  <c r="X16" i="54"/>
  <c r="X18" i="52"/>
  <c r="P27" i="52"/>
  <c r="T84" i="58"/>
  <c r="D22" i="54"/>
  <c r="L16" i="54"/>
  <c r="H84" i="58"/>
  <c r="D35" i="55"/>
  <c r="P72" i="57"/>
  <c r="X68" i="57"/>
  <c r="F112" i="42"/>
  <c r="F100" i="42"/>
  <c r="F89" i="42"/>
  <c r="F85" i="42"/>
  <c r="F81" i="42"/>
  <c r="F77" i="42"/>
  <c r="F73" i="42"/>
  <c r="F61" i="42"/>
  <c r="F45" i="42"/>
  <c r="F33" i="42"/>
  <c r="F21" i="42"/>
  <c r="F109" i="42"/>
  <c r="F96" i="42"/>
  <c r="F88" i="42"/>
  <c r="F80" i="42"/>
  <c r="F72" i="42"/>
  <c r="F67" i="42"/>
  <c r="F64" i="42"/>
  <c r="F55" i="42"/>
  <c r="F52" i="42"/>
  <c r="F44" i="42"/>
  <c r="F32" i="42"/>
  <c r="F27" i="42"/>
  <c r="F26" i="42"/>
  <c r="F20" i="42"/>
  <c r="F102" i="42"/>
  <c r="F99" i="42"/>
  <c r="F95" i="42"/>
  <c r="F87" i="42"/>
  <c r="F79" i="42"/>
  <c r="F63" i="42"/>
  <c r="F58" i="42"/>
  <c r="F43" i="42"/>
  <c r="F38" i="42"/>
  <c r="F31" i="42"/>
  <c r="F116" i="42"/>
  <c r="F111" i="42"/>
  <c r="F105" i="42"/>
  <c r="F98" i="42"/>
  <c r="F94" i="42"/>
  <c r="F69" i="42"/>
  <c r="F66" i="42"/>
  <c r="F54" i="42"/>
  <c r="F49" i="42"/>
  <c r="F42" i="42"/>
  <c r="F30" i="42"/>
  <c r="F101" i="42"/>
  <c r="F93" i="42"/>
  <c r="F84" i="42"/>
  <c r="F76" i="42"/>
  <c r="F60" i="42"/>
  <c r="F57" i="42"/>
  <c r="F41" i="42"/>
  <c r="F37" i="42"/>
  <c r="F29" i="42"/>
  <c r="F110" i="42"/>
  <c r="F108" i="42"/>
  <c r="F103" i="42"/>
  <c r="F91" i="42"/>
  <c r="F86" i="42"/>
  <c r="F83" i="42"/>
  <c r="F78" i="42"/>
  <c r="F75" i="42"/>
  <c r="F62" i="42"/>
  <c r="F59" i="42"/>
  <c r="F47" i="42"/>
  <c r="F39" i="42"/>
  <c r="F35" i="42"/>
  <c r="F106" i="42"/>
  <c r="F97" i="42"/>
  <c r="F90" i="42"/>
  <c r="F104" i="42"/>
  <c r="F71" i="42"/>
  <c r="D24" i="42"/>
  <c r="F24" i="42" s="1"/>
  <c r="F82" i="42"/>
  <c r="F68" i="42"/>
  <c r="F56" i="42"/>
  <c r="F19" i="42"/>
  <c r="F48" i="42"/>
  <c r="F36" i="42"/>
  <c r="F50" i="42"/>
  <c r="F92" i="42"/>
  <c r="F74" i="42"/>
  <c r="F70" i="42"/>
  <c r="F51" i="42"/>
  <c r="F46" i="42"/>
  <c r="F40" i="42"/>
  <c r="F34" i="42"/>
  <c r="F28" i="42"/>
  <c r="F65" i="42"/>
  <c r="F53" i="42"/>
  <c r="F22" i="42"/>
  <c r="L12" i="42"/>
  <c r="N12" i="42" s="1"/>
  <c r="H27" i="50"/>
  <c r="N18" i="50"/>
  <c r="X18" i="49"/>
  <c r="P27" i="49"/>
  <c r="H31" i="43"/>
  <c r="N27" i="43"/>
  <c r="R108" i="42"/>
  <c r="R101" i="42"/>
  <c r="R93" i="42"/>
  <c r="R86" i="42"/>
  <c r="R78" i="42"/>
  <c r="R62" i="42"/>
  <c r="R57" i="42"/>
  <c r="R41" i="42"/>
  <c r="R37" i="42"/>
  <c r="R29" i="42"/>
  <c r="R110" i="42"/>
  <c r="R104" i="42"/>
  <c r="R97" i="42"/>
  <c r="R92" i="42"/>
  <c r="R68" i="42"/>
  <c r="R65" i="42"/>
  <c r="R56" i="42"/>
  <c r="R53" i="42"/>
  <c r="R48" i="42"/>
  <c r="R40" i="42"/>
  <c r="R36" i="42"/>
  <c r="R28" i="42"/>
  <c r="R26" i="42"/>
  <c r="P24" i="42"/>
  <c r="R24" i="42" s="1"/>
  <c r="R103" i="42"/>
  <c r="R100" i="42"/>
  <c r="R91" i="42"/>
  <c r="R83" i="42"/>
  <c r="R75" i="42"/>
  <c r="R59" i="42"/>
  <c r="R47" i="42"/>
  <c r="R39" i="42"/>
  <c r="R35" i="42"/>
  <c r="R112" i="42"/>
  <c r="R106" i="42"/>
  <c r="R90" i="42"/>
  <c r="R82" i="42"/>
  <c r="R74" i="42"/>
  <c r="R70" i="42"/>
  <c r="R67" i="42"/>
  <c r="R55" i="42"/>
  <c r="R50" i="42"/>
  <c r="R46" i="42"/>
  <c r="R34" i="42"/>
  <c r="R27" i="42"/>
  <c r="R22" i="42"/>
  <c r="X12" i="42"/>
  <c r="Z12" i="42" s="1"/>
  <c r="R109" i="42"/>
  <c r="R102" i="42"/>
  <c r="R89" i="42"/>
  <c r="R85" i="42"/>
  <c r="R81" i="42"/>
  <c r="R77" i="42"/>
  <c r="R73" i="42"/>
  <c r="R61" i="42"/>
  <c r="R58" i="42"/>
  <c r="R45" i="42"/>
  <c r="R38" i="42"/>
  <c r="R33" i="42"/>
  <c r="R21" i="42"/>
  <c r="R111" i="42"/>
  <c r="R99" i="42"/>
  <c r="R95" i="42"/>
  <c r="R87" i="42"/>
  <c r="R84" i="42"/>
  <c r="R79" i="42"/>
  <c r="R76" i="42"/>
  <c r="R63" i="42"/>
  <c r="R60" i="42"/>
  <c r="R43" i="42"/>
  <c r="R31" i="42"/>
  <c r="R116" i="42"/>
  <c r="R98" i="42"/>
  <c r="R94" i="42"/>
  <c r="R32" i="42"/>
  <c r="R88" i="42"/>
  <c r="R69" i="42"/>
  <c r="R51" i="42"/>
  <c r="R49" i="42"/>
  <c r="R42" i="42"/>
  <c r="R30" i="42"/>
  <c r="R20" i="42"/>
  <c r="R80" i="42"/>
  <c r="R71" i="42"/>
  <c r="R64" i="42"/>
  <c r="R52" i="42"/>
  <c r="R66" i="42"/>
  <c r="R54" i="42"/>
  <c r="R72" i="42"/>
  <c r="R19" i="42"/>
  <c r="R105" i="42"/>
  <c r="R96" i="42"/>
  <c r="R44" i="42"/>
  <c r="D31" i="41"/>
  <c r="R113" i="39"/>
  <c r="R101" i="39"/>
  <c r="R97" i="39"/>
  <c r="R89" i="39"/>
  <c r="R86" i="39"/>
  <c r="R81" i="39"/>
  <c r="R73" i="39"/>
  <c r="R70" i="39"/>
  <c r="R65" i="39"/>
  <c r="R53" i="39"/>
  <c r="R50" i="39"/>
  <c r="R45" i="39"/>
  <c r="R33" i="39"/>
  <c r="R21" i="39"/>
  <c r="R118" i="39"/>
  <c r="R100" i="39"/>
  <c r="R96" i="39"/>
  <c r="R77" i="39"/>
  <c r="R64" i="39"/>
  <c r="R61" i="39"/>
  <c r="R44" i="39"/>
  <c r="R32" i="39"/>
  <c r="R110" i="39"/>
  <c r="R103" i="39"/>
  <c r="R95" i="39"/>
  <c r="R88" i="39"/>
  <c r="R80" i="39"/>
  <c r="R72" i="39"/>
  <c r="R67" i="39"/>
  <c r="R55" i="39"/>
  <c r="R52" i="39"/>
  <c r="R43" i="39"/>
  <c r="R31" i="39"/>
  <c r="R20" i="39"/>
  <c r="R112" i="39"/>
  <c r="R106" i="39"/>
  <c r="R99" i="39"/>
  <c r="R94" i="39"/>
  <c r="R63" i="39"/>
  <c r="R58" i="39"/>
  <c r="R42" i="39"/>
  <c r="R38" i="39"/>
  <c r="R30" i="39"/>
  <c r="R105" i="39"/>
  <c r="R102" i="39"/>
  <c r="R93" i="39"/>
  <c r="R85" i="39"/>
  <c r="R69" i="39"/>
  <c r="R66" i="39"/>
  <c r="R57" i="39"/>
  <c r="R54" i="39"/>
  <c r="R49" i="39"/>
  <c r="R41" i="39"/>
  <c r="R37" i="39"/>
  <c r="R29" i="39"/>
  <c r="R27" i="39"/>
  <c r="P25" i="39"/>
  <c r="R25" i="39" s="1"/>
  <c r="R114" i="39"/>
  <c r="R108" i="39"/>
  <c r="R92" i="39"/>
  <c r="R84" i="39"/>
  <c r="R76" i="39"/>
  <c r="R60" i="39"/>
  <c r="R48" i="39"/>
  <c r="R40" i="39"/>
  <c r="R36" i="39"/>
  <c r="X12" i="39"/>
  <c r="Z12" i="39" s="1"/>
  <c r="R111" i="39"/>
  <c r="R104" i="39"/>
  <c r="R91" i="39"/>
  <c r="R87" i="39"/>
  <c r="R83" i="39"/>
  <c r="R79" i="39"/>
  <c r="R75" i="39"/>
  <c r="R71" i="39"/>
  <c r="R68" i="39"/>
  <c r="R56" i="39"/>
  <c r="R51" i="39"/>
  <c r="R47" i="39"/>
  <c r="R35" i="39"/>
  <c r="R28" i="39"/>
  <c r="R23" i="39"/>
  <c r="R107" i="39"/>
  <c r="R98" i="39"/>
  <c r="R90" i="39"/>
  <c r="R82" i="39"/>
  <c r="R78" i="39"/>
  <c r="R74" i="39"/>
  <c r="R62" i="39"/>
  <c r="R59" i="39"/>
  <c r="R46" i="39"/>
  <c r="R39" i="39"/>
  <c r="R34" i="39"/>
  <c r="R22" i="39"/>
  <c r="J133" i="34"/>
  <c r="T27" i="27"/>
  <c r="Z18" i="27"/>
  <c r="F117" i="28"/>
  <c r="F100" i="28"/>
  <c r="F89" i="28"/>
  <c r="F84" i="28"/>
  <c r="F81" i="28"/>
  <c r="F77" i="28"/>
  <c r="F72" i="28"/>
  <c r="F69" i="28"/>
  <c r="F64" i="28"/>
  <c r="F57" i="28"/>
  <c r="F45" i="28"/>
  <c r="F111" i="28"/>
  <c r="F120" i="28"/>
  <c r="F107" i="28"/>
  <c r="F113" i="28"/>
  <c r="F110" i="28"/>
  <c r="F106" i="28"/>
  <c r="F102" i="28"/>
  <c r="F98" i="28"/>
  <c r="F94" i="28"/>
  <c r="F122" i="28"/>
  <c r="F116" i="28"/>
  <c r="F105" i="28"/>
  <c r="F101" i="28"/>
  <c r="F88" i="28"/>
  <c r="F85" i="28"/>
  <c r="F76" i="28"/>
  <c r="F73" i="28"/>
  <c r="F68" i="28"/>
  <c r="F65" i="28"/>
  <c r="F61" i="28"/>
  <c r="F49" i="28"/>
  <c r="F112" i="28"/>
  <c r="F104" i="28"/>
  <c r="F79" i="28"/>
  <c r="F115" i="28"/>
  <c r="F90" i="28"/>
  <c r="F87" i="28"/>
  <c r="F82" i="28"/>
  <c r="F75" i="28"/>
  <c r="F70" i="28"/>
  <c r="F67" i="28"/>
  <c r="F59" i="28"/>
  <c r="F126" i="28"/>
  <c r="F121" i="28"/>
  <c r="F119" i="28"/>
  <c r="F114" i="28"/>
  <c r="F109" i="28"/>
  <c r="F97" i="28"/>
  <c r="F93" i="28"/>
  <c r="F78" i="28"/>
  <c r="F58" i="28"/>
  <c r="F95" i="28"/>
  <c r="F92" i="28"/>
  <c r="F80" i="28"/>
  <c r="F54" i="28"/>
  <c r="F30" i="28"/>
  <c r="F22" i="28"/>
  <c r="L12" i="28"/>
  <c r="N12" i="28" s="1"/>
  <c r="F108" i="28"/>
  <c r="F99" i="28"/>
  <c r="F96" i="28"/>
  <c r="F66" i="28"/>
  <c r="F48" i="28"/>
  <c r="F46" i="28"/>
  <c r="D40" i="28"/>
  <c r="F38" i="28"/>
  <c r="F37" i="28"/>
  <c r="F29" i="28"/>
  <c r="F21" i="28"/>
  <c r="F86" i="28"/>
  <c r="F60" i="28"/>
  <c r="F47" i="28"/>
  <c r="F43" i="28"/>
  <c r="F36" i="28"/>
  <c r="F28" i="28"/>
  <c r="F20" i="28"/>
  <c r="F103" i="28"/>
  <c r="F71" i="28"/>
  <c r="F53" i="28"/>
  <c r="F52" i="28"/>
  <c r="F50" i="28"/>
  <c r="F35" i="28"/>
  <c r="F27" i="28"/>
  <c r="F51" i="28"/>
  <c r="F34" i="28"/>
  <c r="F26" i="28"/>
  <c r="F83" i="28"/>
  <c r="F74" i="28"/>
  <c r="F33" i="28"/>
  <c r="F25" i="28"/>
  <c r="F62" i="28"/>
  <c r="F56" i="28"/>
  <c r="F42" i="28"/>
  <c r="F32" i="28"/>
  <c r="F24" i="28"/>
  <c r="F19" i="28"/>
  <c r="F23" i="28"/>
  <c r="F63" i="28"/>
  <c r="F55" i="28"/>
  <c r="F91" i="28"/>
  <c r="F31" i="28"/>
  <c r="F44" i="28"/>
  <c r="T133" i="34"/>
  <c r="X18" i="19"/>
  <c r="P27" i="19"/>
  <c r="P27" i="26"/>
  <c r="X18" i="26"/>
  <c r="J50" i="15"/>
  <c r="L18" i="24"/>
  <c r="D22" i="6"/>
  <c r="L16" i="6"/>
  <c r="H97" i="9"/>
  <c r="N16" i="9"/>
  <c r="P31" i="11"/>
  <c r="Z31" i="10"/>
  <c r="V64" i="3"/>
  <c r="H80" i="78"/>
  <c r="N16" i="78"/>
  <c r="R89" i="63"/>
  <c r="R83" i="63"/>
  <c r="R79" i="63"/>
  <c r="R72" i="63"/>
  <c r="R60" i="63"/>
  <c r="R55" i="63"/>
  <c r="R51" i="63"/>
  <c r="R39" i="63"/>
  <c r="R27" i="63"/>
  <c r="R19" i="63"/>
  <c r="R78" i="63"/>
  <c r="R75" i="63"/>
  <c r="R66" i="63"/>
  <c r="R63" i="63"/>
  <c r="R50" i="63"/>
  <c r="R43" i="63"/>
  <c r="R38" i="63"/>
  <c r="R26" i="63"/>
  <c r="R82" i="63"/>
  <c r="R57" i="63"/>
  <c r="R54" i="63"/>
  <c r="R49" i="63"/>
  <c r="R37" i="63"/>
  <c r="R25" i="63"/>
  <c r="R18" i="63"/>
  <c r="R77" i="63"/>
  <c r="R68" i="63"/>
  <c r="R65" i="63"/>
  <c r="R48" i="63"/>
  <c r="R36" i="63"/>
  <c r="R24" i="63"/>
  <c r="R71" i="63"/>
  <c r="R59" i="63"/>
  <c r="R56" i="63"/>
  <c r="R47" i="63"/>
  <c r="R35" i="63"/>
  <c r="R23" i="63"/>
  <c r="R85" i="63"/>
  <c r="R74" i="63"/>
  <c r="R70" i="63"/>
  <c r="R67" i="63"/>
  <c r="R62" i="63"/>
  <c r="R46" i="63"/>
  <c r="R42" i="63"/>
  <c r="R34" i="63"/>
  <c r="R32" i="63"/>
  <c r="P30" i="63"/>
  <c r="R22" i="63"/>
  <c r="R81" i="63"/>
  <c r="R73" i="63"/>
  <c r="R61" i="63"/>
  <c r="R58" i="63"/>
  <c r="R53" i="63"/>
  <c r="R45" i="63"/>
  <c r="R41" i="63"/>
  <c r="R21" i="63"/>
  <c r="R80" i="63"/>
  <c r="R76" i="63"/>
  <c r="R69" i="63"/>
  <c r="R64" i="63"/>
  <c r="R52" i="63"/>
  <c r="R44" i="63"/>
  <c r="R40" i="63"/>
  <c r="R33" i="63"/>
  <c r="R28" i="63"/>
  <c r="R20" i="63"/>
  <c r="X12" i="63"/>
  <c r="Z12" i="63" s="1"/>
  <c r="T94" i="63"/>
  <c r="P75" i="56"/>
  <c r="X16" i="56"/>
  <c r="T27" i="52"/>
  <c r="Z18" i="52"/>
  <c r="T27" i="46"/>
  <c r="Z18" i="46"/>
  <c r="T122" i="36"/>
  <c r="Z27" i="36"/>
  <c r="X18" i="94"/>
  <c r="P27" i="94"/>
  <c r="H57" i="84"/>
  <c r="N53" i="84"/>
  <c r="J23" i="82"/>
  <c r="T101" i="82"/>
  <c r="H32" i="81"/>
  <c r="N28" i="81"/>
  <c r="H32" i="75"/>
  <c r="N22" i="75"/>
  <c r="D32" i="75"/>
  <c r="L22" i="75"/>
  <c r="V24" i="74"/>
  <c r="H112" i="67"/>
  <c r="J31" i="65"/>
  <c r="H87" i="63"/>
  <c r="R90" i="65"/>
  <c r="R74" i="65"/>
  <c r="R70" i="65"/>
  <c r="R67" i="65"/>
  <c r="R50" i="65"/>
  <c r="R38" i="65"/>
  <c r="R26" i="65"/>
  <c r="R19" i="65"/>
  <c r="R95" i="65"/>
  <c r="R77" i="65"/>
  <c r="R73" i="65"/>
  <c r="R87" i="65"/>
  <c r="R89" i="65"/>
  <c r="R83" i="65"/>
  <c r="R79" i="65"/>
  <c r="R63" i="65"/>
  <c r="R60" i="65"/>
  <c r="R55" i="65"/>
  <c r="R47" i="65"/>
  <c r="R43" i="65"/>
  <c r="R35" i="65"/>
  <c r="R33" i="65"/>
  <c r="P31" i="65"/>
  <c r="R23" i="65"/>
  <c r="R82" i="65"/>
  <c r="R75" i="65"/>
  <c r="R71" i="65"/>
  <c r="R66" i="65"/>
  <c r="R54" i="65"/>
  <c r="R46" i="65"/>
  <c r="R42" i="65"/>
  <c r="R22" i="65"/>
  <c r="X12" i="65"/>
  <c r="Z12" i="65" s="1"/>
  <c r="R91" i="65"/>
  <c r="R85" i="65"/>
  <c r="R78" i="65"/>
  <c r="R65" i="65"/>
  <c r="R62" i="65"/>
  <c r="R57" i="65"/>
  <c r="R53" i="65"/>
  <c r="R41" i="65"/>
  <c r="R34" i="65"/>
  <c r="R29" i="65"/>
  <c r="R21" i="65"/>
  <c r="R88" i="65"/>
  <c r="R81" i="65"/>
  <c r="R68" i="65"/>
  <c r="R52" i="65"/>
  <c r="R45" i="65"/>
  <c r="R40" i="65"/>
  <c r="R28" i="65"/>
  <c r="R20" i="65"/>
  <c r="R84" i="65"/>
  <c r="R64" i="65"/>
  <c r="R59" i="65"/>
  <c r="R56" i="65"/>
  <c r="R51" i="65"/>
  <c r="R39" i="65"/>
  <c r="R27" i="65"/>
  <c r="R80" i="65"/>
  <c r="R58" i="65"/>
  <c r="R49" i="65"/>
  <c r="R36" i="65"/>
  <c r="R37" i="65"/>
  <c r="R24" i="65"/>
  <c r="R72" i="65"/>
  <c r="R25" i="65"/>
  <c r="R69" i="65"/>
  <c r="R76" i="65"/>
  <c r="R61" i="65"/>
  <c r="R44" i="65"/>
  <c r="R31" i="65"/>
  <c r="R48" i="65"/>
  <c r="F22" i="64"/>
  <c r="P101" i="62"/>
  <c r="P77" i="58"/>
  <c r="X16" i="58"/>
  <c r="H22" i="54"/>
  <c r="N16" i="54"/>
  <c r="H66" i="60"/>
  <c r="N63" i="60"/>
  <c r="T74" i="59"/>
  <c r="L16" i="56"/>
  <c r="T85" i="51"/>
  <c r="H75" i="48"/>
  <c r="J17" i="48"/>
  <c r="N17" i="48"/>
  <c r="T27" i="47"/>
  <c r="Z18" i="47"/>
  <c r="T27" i="49"/>
  <c r="Z18" i="49"/>
  <c r="T82" i="56"/>
  <c r="F112" i="39"/>
  <c r="F110" i="39"/>
  <c r="F105" i="39"/>
  <c r="F93" i="39"/>
  <c r="F88" i="39"/>
  <c r="F85" i="39"/>
  <c r="F80" i="39"/>
  <c r="F72" i="39"/>
  <c r="F69" i="39"/>
  <c r="F57" i="39"/>
  <c r="F52" i="39"/>
  <c r="F49" i="39"/>
  <c r="F41" i="39"/>
  <c r="F37" i="39"/>
  <c r="F29" i="39"/>
  <c r="F20" i="39"/>
  <c r="F108" i="39"/>
  <c r="F99" i="39"/>
  <c r="F92" i="39"/>
  <c r="F84" i="39"/>
  <c r="F76" i="39"/>
  <c r="F63" i="39"/>
  <c r="F60" i="39"/>
  <c r="F48" i="39"/>
  <c r="F40" i="39"/>
  <c r="F36" i="39"/>
  <c r="F25" i="39"/>
  <c r="L12" i="39"/>
  <c r="N12" i="39" s="1"/>
  <c r="F114" i="39"/>
  <c r="F102" i="39"/>
  <c r="F91" i="39"/>
  <c r="F87" i="39"/>
  <c r="F83" i="39"/>
  <c r="F79" i="39"/>
  <c r="F75" i="39"/>
  <c r="F71" i="39"/>
  <c r="F66" i="39"/>
  <c r="F54" i="39"/>
  <c r="F51" i="39"/>
  <c r="F47" i="39"/>
  <c r="F35" i="39"/>
  <c r="D25" i="39"/>
  <c r="F23" i="39"/>
  <c r="F111" i="39"/>
  <c r="F98" i="39"/>
  <c r="F90" i="39"/>
  <c r="F82" i="39"/>
  <c r="F78" i="39"/>
  <c r="F74" i="39"/>
  <c r="F62" i="39"/>
  <c r="F46" i="39"/>
  <c r="F34" i="39"/>
  <c r="F22" i="39"/>
  <c r="F104" i="39"/>
  <c r="F101" i="39"/>
  <c r="F97" i="39"/>
  <c r="F89" i="39"/>
  <c r="F81" i="39"/>
  <c r="F73" i="39"/>
  <c r="F68" i="39"/>
  <c r="F65" i="39"/>
  <c r="F56" i="39"/>
  <c r="F53" i="39"/>
  <c r="F45" i="39"/>
  <c r="F33" i="39"/>
  <c r="F28" i="39"/>
  <c r="F27" i="39"/>
  <c r="F21" i="39"/>
  <c r="F118" i="39"/>
  <c r="F113" i="39"/>
  <c r="F107" i="39"/>
  <c r="F100" i="39"/>
  <c r="F96" i="39"/>
  <c r="F64" i="39"/>
  <c r="F59" i="39"/>
  <c r="F44" i="39"/>
  <c r="F39" i="39"/>
  <c r="F32" i="39"/>
  <c r="F103" i="39"/>
  <c r="F95" i="39"/>
  <c r="F86" i="39"/>
  <c r="F70" i="39"/>
  <c r="F67" i="39"/>
  <c r="F55" i="39"/>
  <c r="F50" i="39"/>
  <c r="F43" i="39"/>
  <c r="F31" i="39"/>
  <c r="F106" i="39"/>
  <c r="F94" i="39"/>
  <c r="F77" i="39"/>
  <c r="F61" i="39"/>
  <c r="F58" i="39"/>
  <c r="F42" i="39"/>
  <c r="F38" i="39"/>
  <c r="F30" i="39"/>
  <c r="Z27" i="41"/>
  <c r="T31" i="41"/>
  <c r="R90" i="45"/>
  <c r="R82" i="45"/>
  <c r="R79" i="45"/>
  <c r="R42" i="45"/>
  <c r="R38" i="45"/>
  <c r="R30" i="45"/>
  <c r="R100" i="45"/>
  <c r="R93" i="45"/>
  <c r="R89" i="45"/>
  <c r="R74" i="45"/>
  <c r="R70" i="45"/>
  <c r="R65" i="45"/>
  <c r="R62" i="45"/>
  <c r="R57" i="45"/>
  <c r="R54" i="45"/>
  <c r="R49" i="45"/>
  <c r="R41" i="45"/>
  <c r="R37" i="45"/>
  <c r="R29" i="45"/>
  <c r="R27" i="45"/>
  <c r="P25" i="45"/>
  <c r="R92" i="45"/>
  <c r="R88" i="45"/>
  <c r="R81" i="45"/>
  <c r="R48" i="45"/>
  <c r="R40" i="45"/>
  <c r="R36" i="45"/>
  <c r="X12" i="45"/>
  <c r="Z12" i="45" s="1"/>
  <c r="R95" i="45"/>
  <c r="R87" i="45"/>
  <c r="R67" i="45"/>
  <c r="R64" i="45"/>
  <c r="R59" i="45"/>
  <c r="R56" i="45"/>
  <c r="R51" i="45"/>
  <c r="R47" i="45"/>
  <c r="R35" i="45"/>
  <c r="R28" i="45"/>
  <c r="R23" i="45"/>
  <c r="R104" i="45"/>
  <c r="R98" i="45"/>
  <c r="R91" i="45"/>
  <c r="R86" i="45"/>
  <c r="R78" i="45"/>
  <c r="R46" i="45"/>
  <c r="R39" i="45"/>
  <c r="R34" i="45"/>
  <c r="R22" i="45"/>
  <c r="R84" i="45"/>
  <c r="R80" i="45"/>
  <c r="R76" i="45"/>
  <c r="R72" i="45"/>
  <c r="R44" i="45"/>
  <c r="R32" i="45"/>
  <c r="R96" i="45"/>
  <c r="R83" i="45"/>
  <c r="R75" i="45"/>
  <c r="R71" i="45"/>
  <c r="R68" i="45"/>
  <c r="R63" i="45"/>
  <c r="R60" i="45"/>
  <c r="R55" i="45"/>
  <c r="R52" i="45"/>
  <c r="R43" i="45"/>
  <c r="R31" i="45"/>
  <c r="R20" i="45"/>
  <c r="R69" i="45"/>
  <c r="R50" i="45"/>
  <c r="R33" i="45"/>
  <c r="R85" i="45"/>
  <c r="R73" i="45"/>
  <c r="R53" i="45"/>
  <c r="R45" i="45"/>
  <c r="R58" i="45"/>
  <c r="R97" i="45"/>
  <c r="R94" i="45"/>
  <c r="R77" i="45"/>
  <c r="R61" i="45"/>
  <c r="R21" i="45"/>
  <c r="R66" i="45"/>
  <c r="H122" i="36"/>
  <c r="F112" i="36"/>
  <c r="F100" i="36"/>
  <c r="F91" i="36"/>
  <c r="F83" i="36"/>
  <c r="F67" i="36"/>
  <c r="F64" i="36"/>
  <c r="F48" i="36"/>
  <c r="F36" i="36"/>
  <c r="F24" i="36"/>
  <c r="F118" i="36"/>
  <c r="F116" i="36"/>
  <c r="F111" i="36"/>
  <c r="F99" i="36"/>
  <c r="F94" i="36"/>
  <c r="F78" i="36"/>
  <c r="F75" i="36"/>
  <c r="F70" i="36"/>
  <c r="F58" i="36"/>
  <c r="F55" i="36"/>
  <c r="F47" i="36"/>
  <c r="F35" i="36"/>
  <c r="F30" i="36"/>
  <c r="F29" i="36"/>
  <c r="F23" i="36"/>
  <c r="F114" i="36"/>
  <c r="F105" i="36"/>
  <c r="F98" i="36"/>
  <c r="F90" i="36"/>
  <c r="F85" i="36"/>
  <c r="F82" i="36"/>
  <c r="F66" i="36"/>
  <c r="F61" i="36"/>
  <c r="F46" i="36"/>
  <c r="F41" i="36"/>
  <c r="F34" i="36"/>
  <c r="F120" i="36"/>
  <c r="F108" i="36"/>
  <c r="F97" i="36"/>
  <c r="F93" i="36"/>
  <c r="F89" i="36"/>
  <c r="F81" i="36"/>
  <c r="F77" i="36"/>
  <c r="F72" i="36"/>
  <c r="F69" i="36"/>
  <c r="F57" i="36"/>
  <c r="F52" i="36"/>
  <c r="F45" i="36"/>
  <c r="F33" i="36"/>
  <c r="F117" i="36"/>
  <c r="F104" i="36"/>
  <c r="F96" i="36"/>
  <c r="F92" i="36"/>
  <c r="F88" i="36"/>
  <c r="F84" i="36"/>
  <c r="F80" i="36"/>
  <c r="F68" i="36"/>
  <c r="F63" i="36"/>
  <c r="F60" i="36"/>
  <c r="F44" i="36"/>
  <c r="F40" i="36"/>
  <c r="F32" i="36"/>
  <c r="L12" i="36"/>
  <c r="N12" i="36" s="1"/>
  <c r="F110" i="36"/>
  <c r="F107" i="36"/>
  <c r="F103" i="36"/>
  <c r="F95" i="36"/>
  <c r="F87" i="36"/>
  <c r="F79" i="36"/>
  <c r="F74" i="36"/>
  <c r="F71" i="36"/>
  <c r="F59" i="36"/>
  <c r="F54" i="36"/>
  <c r="F51" i="36"/>
  <c r="F43" i="36"/>
  <c r="F39" i="36"/>
  <c r="F31" i="36"/>
  <c r="F22" i="36"/>
  <c r="F124" i="36"/>
  <c r="F119" i="36"/>
  <c r="F113" i="36"/>
  <c r="F106" i="36"/>
  <c r="F102" i="36"/>
  <c r="F86" i="36"/>
  <c r="F65" i="36"/>
  <c r="F62" i="36"/>
  <c r="F50" i="36"/>
  <c r="F42" i="36"/>
  <c r="F38" i="36"/>
  <c r="F109" i="36"/>
  <c r="F101" i="36"/>
  <c r="F76" i="36"/>
  <c r="F73" i="36"/>
  <c r="F56" i="36"/>
  <c r="F53" i="36"/>
  <c r="F49" i="36"/>
  <c r="F37" i="36"/>
  <c r="D27" i="36"/>
  <c r="F25" i="36"/>
  <c r="T123" i="39"/>
  <c r="F42" i="34"/>
  <c r="D31" i="30"/>
  <c r="F23" i="31"/>
  <c r="H27" i="22"/>
  <c r="N18" i="22"/>
  <c r="T101" i="21"/>
  <c r="N18" i="19"/>
  <c r="H27" i="19"/>
  <c r="L27" i="19" s="1"/>
  <c r="P129" i="34"/>
  <c r="X42" i="34"/>
  <c r="Z42" i="34" s="1"/>
  <c r="T124" i="28"/>
  <c r="T27" i="20"/>
  <c r="Z18" i="20"/>
  <c r="T36" i="30"/>
  <c r="Z36" i="30" s="1"/>
  <c r="Z31" i="30"/>
  <c r="X18" i="20"/>
  <c r="P27" i="20"/>
  <c r="D31" i="23"/>
  <c r="T27" i="17"/>
  <c r="Z18" i="17"/>
  <c r="D31" i="19"/>
  <c r="T27" i="16"/>
  <c r="Z18" i="16"/>
  <c r="H128" i="28"/>
  <c r="L18" i="13"/>
  <c r="D27" i="13"/>
  <c r="T36" i="23"/>
  <c r="Z36" i="23" s="1"/>
  <c r="Z31" i="23"/>
  <c r="R157" i="18"/>
  <c r="R145" i="18"/>
  <c r="R138" i="18"/>
  <c r="R133" i="18"/>
  <c r="R129" i="18"/>
  <c r="R125" i="18"/>
  <c r="R121" i="18"/>
  <c r="R117" i="18"/>
  <c r="R154" i="18"/>
  <c r="R148" i="18"/>
  <c r="R144" i="18"/>
  <c r="R141" i="18"/>
  <c r="R151" i="18"/>
  <c r="R131" i="18"/>
  <c r="R119" i="18"/>
  <c r="R115" i="18"/>
  <c r="R103" i="18"/>
  <c r="R156" i="18"/>
  <c r="R147" i="18"/>
  <c r="R143" i="18"/>
  <c r="R127" i="18"/>
  <c r="R123" i="18"/>
  <c r="R114" i="18"/>
  <c r="R111" i="18"/>
  <c r="R140" i="18"/>
  <c r="R136" i="18"/>
  <c r="R155" i="18"/>
  <c r="R150" i="18"/>
  <c r="R139" i="18"/>
  <c r="R135" i="18"/>
  <c r="R137" i="18"/>
  <c r="R91" i="18"/>
  <c r="R79" i="18"/>
  <c r="R71" i="18"/>
  <c r="R67" i="18"/>
  <c r="R47" i="18"/>
  <c r="R39" i="18"/>
  <c r="R31" i="18"/>
  <c r="R23" i="18"/>
  <c r="R142" i="18"/>
  <c r="R116" i="18"/>
  <c r="R102" i="18"/>
  <c r="R94" i="18"/>
  <c r="R87" i="18"/>
  <c r="R82" i="18"/>
  <c r="R78" i="18"/>
  <c r="R66" i="18"/>
  <c r="R59" i="18"/>
  <c r="R54" i="18"/>
  <c r="R46" i="18"/>
  <c r="R38" i="18"/>
  <c r="R30" i="18"/>
  <c r="R22" i="18"/>
  <c r="R152" i="18"/>
  <c r="R146" i="18"/>
  <c r="R132" i="18"/>
  <c r="R124" i="18"/>
  <c r="R109" i="18"/>
  <c r="R104" i="18"/>
  <c r="R90" i="18"/>
  <c r="R77" i="18"/>
  <c r="R70" i="18"/>
  <c r="R65" i="18"/>
  <c r="R53" i="18"/>
  <c r="R45" i="18"/>
  <c r="R37" i="18"/>
  <c r="R29" i="18"/>
  <c r="R161" i="18"/>
  <c r="R153" i="18"/>
  <c r="R122" i="18"/>
  <c r="R118" i="18"/>
  <c r="R113" i="18"/>
  <c r="R112" i="18"/>
  <c r="R101" i="18"/>
  <c r="R100" i="18"/>
  <c r="R96" i="18"/>
  <c r="R93" i="18"/>
  <c r="R84" i="18"/>
  <c r="R81" i="18"/>
  <c r="R76" i="18"/>
  <c r="R64" i="18"/>
  <c r="R52" i="18"/>
  <c r="R44" i="18"/>
  <c r="R36" i="18"/>
  <c r="R28" i="18"/>
  <c r="R21" i="18"/>
  <c r="R110" i="18"/>
  <c r="R108" i="18"/>
  <c r="R99" i="18"/>
  <c r="R75" i="18"/>
  <c r="R63" i="18"/>
  <c r="R51" i="18"/>
  <c r="R43" i="18"/>
  <c r="R35" i="18"/>
  <c r="R27" i="18"/>
  <c r="R128" i="18"/>
  <c r="R107" i="18"/>
  <c r="R95" i="18"/>
  <c r="R86" i="18"/>
  <c r="R83" i="18"/>
  <c r="R74" i="18"/>
  <c r="R62" i="18"/>
  <c r="R50" i="18"/>
  <c r="R42" i="18"/>
  <c r="R34" i="18"/>
  <c r="R26" i="18"/>
  <c r="X12" i="18"/>
  <c r="Z12" i="18" s="1"/>
  <c r="R126" i="18"/>
  <c r="R120" i="18"/>
  <c r="R98" i="18"/>
  <c r="R89" i="18"/>
  <c r="R73" i="18"/>
  <c r="R69" i="18"/>
  <c r="R61" i="18"/>
  <c r="R56" i="18"/>
  <c r="R49" i="18"/>
  <c r="R41" i="18"/>
  <c r="R33" i="18"/>
  <c r="R25" i="18"/>
  <c r="R134" i="18"/>
  <c r="R130" i="18"/>
  <c r="R106" i="18"/>
  <c r="R105" i="18"/>
  <c r="R97" i="18"/>
  <c r="R92" i="18"/>
  <c r="R88" i="18"/>
  <c r="R85" i="18"/>
  <c r="R80" i="18"/>
  <c r="R72" i="18"/>
  <c r="R68" i="18"/>
  <c r="R60" i="18"/>
  <c r="R58" i="18"/>
  <c r="P56" i="18"/>
  <c r="R48" i="18"/>
  <c r="R40" i="18"/>
  <c r="R32" i="18"/>
  <c r="R24" i="18"/>
  <c r="X18" i="10"/>
  <c r="P27" i="10"/>
  <c r="H27" i="4"/>
  <c r="N18" i="4"/>
  <c r="R143" i="12"/>
  <c r="R139" i="12"/>
  <c r="R120" i="12"/>
  <c r="R158" i="12"/>
  <c r="R153" i="12"/>
  <c r="R155" i="12"/>
  <c r="R149" i="12"/>
  <c r="R145" i="12"/>
  <c r="R137" i="12"/>
  <c r="R129" i="12"/>
  <c r="R101" i="12"/>
  <c r="R157" i="12"/>
  <c r="R162" i="12"/>
  <c r="R154" i="12"/>
  <c r="R150" i="12"/>
  <c r="R148" i="12"/>
  <c r="R147" i="12"/>
  <c r="R124" i="12"/>
  <c r="R122" i="12"/>
  <c r="R121" i="12"/>
  <c r="R111" i="12"/>
  <c r="R75" i="12"/>
  <c r="R63" i="12"/>
  <c r="R51" i="12"/>
  <c r="R43" i="12"/>
  <c r="R35" i="12"/>
  <c r="R27" i="12"/>
  <c r="R140" i="12"/>
  <c r="R123" i="12"/>
  <c r="R106" i="12"/>
  <c r="R86" i="12"/>
  <c r="R83" i="12"/>
  <c r="R74" i="12"/>
  <c r="R62" i="12"/>
  <c r="R50" i="12"/>
  <c r="R42" i="12"/>
  <c r="R34" i="12"/>
  <c r="R26" i="12"/>
  <c r="X12" i="12"/>
  <c r="Z12" i="12" s="1"/>
  <c r="R136" i="12"/>
  <c r="R134" i="12"/>
  <c r="R118" i="12"/>
  <c r="R117" i="12"/>
  <c r="R116" i="12"/>
  <c r="R115" i="12"/>
  <c r="R110" i="12"/>
  <c r="R109" i="12"/>
  <c r="R105" i="12"/>
  <c r="R89" i="12"/>
  <c r="R73" i="12"/>
  <c r="R69" i="12"/>
  <c r="R61" i="12"/>
  <c r="R49" i="12"/>
  <c r="R41" i="12"/>
  <c r="R33" i="12"/>
  <c r="R156" i="12"/>
  <c r="R135" i="12"/>
  <c r="R133" i="12"/>
  <c r="R119" i="12"/>
  <c r="R104" i="12"/>
  <c r="R96" i="12"/>
  <c r="R95" i="12"/>
  <c r="R92" i="12"/>
  <c r="R88" i="12"/>
  <c r="R85" i="12"/>
  <c r="R80" i="12"/>
  <c r="R72" i="12"/>
  <c r="R68" i="12"/>
  <c r="R60" i="12"/>
  <c r="R58" i="12"/>
  <c r="P56" i="12"/>
  <c r="R48" i="12"/>
  <c r="R40" i="12"/>
  <c r="R32" i="12"/>
  <c r="R25" i="12"/>
  <c r="R151" i="12"/>
  <c r="R132" i="12"/>
  <c r="R103" i="12"/>
  <c r="R102" i="12"/>
  <c r="R100" i="12"/>
  <c r="R91" i="12"/>
  <c r="R79" i="12"/>
  <c r="R71" i="12"/>
  <c r="R67" i="12"/>
  <c r="R47" i="12"/>
  <c r="R39" i="12"/>
  <c r="R31" i="12"/>
  <c r="R131" i="12"/>
  <c r="R130" i="12"/>
  <c r="R114" i="12"/>
  <c r="R99" i="12"/>
  <c r="R87" i="12"/>
  <c r="R82" i="12"/>
  <c r="R78" i="12"/>
  <c r="R66" i="12"/>
  <c r="R59" i="12"/>
  <c r="R54" i="12"/>
  <c r="R46" i="12"/>
  <c r="R38" i="12"/>
  <c r="R30" i="12"/>
  <c r="R141" i="12"/>
  <c r="R138" i="12"/>
  <c r="R128" i="12"/>
  <c r="R126" i="12"/>
  <c r="R113" i="12"/>
  <c r="R108" i="12"/>
  <c r="R107" i="12"/>
  <c r="R94" i="12"/>
  <c r="R90" i="12"/>
  <c r="R77" i="12"/>
  <c r="R70" i="12"/>
  <c r="R65" i="12"/>
  <c r="R53" i="12"/>
  <c r="R45" i="12"/>
  <c r="R37" i="12"/>
  <c r="R29" i="12"/>
  <c r="R146" i="12"/>
  <c r="R144" i="12"/>
  <c r="R142" i="12"/>
  <c r="R127" i="12"/>
  <c r="R125" i="12"/>
  <c r="R112" i="12"/>
  <c r="R98" i="12"/>
  <c r="R97" i="12"/>
  <c r="R93" i="12"/>
  <c r="R84" i="12"/>
  <c r="R81" i="12"/>
  <c r="R76" i="12"/>
  <c r="R64" i="12"/>
  <c r="R52" i="12"/>
  <c r="R44" i="12"/>
  <c r="R36" i="12"/>
  <c r="R28" i="12"/>
  <c r="P97" i="9"/>
  <c r="X16" i="9"/>
  <c r="P31" i="7"/>
  <c r="X18" i="8"/>
  <c r="P27" i="8"/>
  <c r="T31" i="4"/>
  <c r="Z27" i="4"/>
  <c r="X18" i="11"/>
  <c r="P81" i="69"/>
  <c r="X31" i="69"/>
  <c r="Z31" i="69" s="1"/>
  <c r="J25" i="72"/>
  <c r="N25" i="72"/>
  <c r="H29" i="72"/>
  <c r="H101" i="62"/>
  <c r="N17" i="62"/>
  <c r="P59" i="60"/>
  <c r="X16" i="60"/>
  <c r="X16" i="55"/>
  <c r="P31" i="55"/>
  <c r="T27" i="44"/>
  <c r="Z18" i="44"/>
  <c r="Z68" i="57"/>
  <c r="T72" i="57"/>
  <c r="F161" i="18"/>
  <c r="F156" i="18"/>
  <c r="F137" i="18"/>
  <c r="F153" i="18"/>
  <c r="F147" i="18"/>
  <c r="F143" i="18"/>
  <c r="F140" i="18"/>
  <c r="F136" i="18"/>
  <c r="F139" i="18"/>
  <c r="F135" i="18"/>
  <c r="F130" i="18"/>
  <c r="F118" i="18"/>
  <c r="F102" i="18"/>
  <c r="F155" i="18"/>
  <c r="F146" i="18"/>
  <c r="F142" i="18"/>
  <c r="F134" i="18"/>
  <c r="F126" i="18"/>
  <c r="F122" i="18"/>
  <c r="F113" i="18"/>
  <c r="F110" i="18"/>
  <c r="F157" i="18"/>
  <c r="F148" i="18"/>
  <c r="F144" i="18"/>
  <c r="F154" i="18"/>
  <c r="F138" i="18"/>
  <c r="F131" i="18"/>
  <c r="F119" i="18"/>
  <c r="F115" i="18"/>
  <c r="F103" i="18"/>
  <c r="F128" i="18"/>
  <c r="F90" i="18"/>
  <c r="F75" i="18"/>
  <c r="F70" i="18"/>
  <c r="F63" i="18"/>
  <c r="F51" i="18"/>
  <c r="F43" i="18"/>
  <c r="F35" i="18"/>
  <c r="F27" i="18"/>
  <c r="F127" i="18"/>
  <c r="F120" i="18"/>
  <c r="F99" i="18"/>
  <c r="F98" i="18"/>
  <c r="F93" i="18"/>
  <c r="F86" i="18"/>
  <c r="F81" i="18"/>
  <c r="F74" i="18"/>
  <c r="F62" i="18"/>
  <c r="F50" i="18"/>
  <c r="F42" i="18"/>
  <c r="F34" i="18"/>
  <c r="F26" i="18"/>
  <c r="F21" i="18"/>
  <c r="L12" i="18"/>
  <c r="N12" i="18" s="1"/>
  <c r="F145" i="18"/>
  <c r="F129" i="18"/>
  <c r="F107" i="18"/>
  <c r="F106" i="18"/>
  <c r="F89" i="18"/>
  <c r="F73" i="18"/>
  <c r="F69" i="18"/>
  <c r="F61" i="18"/>
  <c r="F49" i="18"/>
  <c r="F41" i="18"/>
  <c r="F33" i="18"/>
  <c r="F25" i="18"/>
  <c r="F141" i="18"/>
  <c r="F121" i="18"/>
  <c r="F95" i="18"/>
  <c r="F92" i="18"/>
  <c r="F88" i="18"/>
  <c r="F83" i="18"/>
  <c r="F80" i="18"/>
  <c r="F72" i="18"/>
  <c r="F68" i="18"/>
  <c r="F60" i="18"/>
  <c r="F48" i="18"/>
  <c r="F40" i="18"/>
  <c r="F32" i="18"/>
  <c r="F24" i="18"/>
  <c r="F150" i="18"/>
  <c r="F116" i="18"/>
  <c r="F91" i="18"/>
  <c r="F79" i="18"/>
  <c r="F71" i="18"/>
  <c r="F67" i="18"/>
  <c r="F56" i="18"/>
  <c r="F47" i="18"/>
  <c r="F39" i="18"/>
  <c r="F31" i="18"/>
  <c r="F23" i="18"/>
  <c r="F152" i="18"/>
  <c r="F151" i="18"/>
  <c r="F132" i="18"/>
  <c r="F124" i="18"/>
  <c r="F105" i="18"/>
  <c r="F104" i="18"/>
  <c r="F97" i="18"/>
  <c r="F94" i="18"/>
  <c r="F85" i="18"/>
  <c r="F82" i="18"/>
  <c r="F78" i="18"/>
  <c r="F66" i="18"/>
  <c r="D56" i="18"/>
  <c r="F54" i="18"/>
  <c r="F46" i="18"/>
  <c r="F38" i="18"/>
  <c r="F30" i="18"/>
  <c r="F22" i="18"/>
  <c r="F123" i="18"/>
  <c r="F117" i="18"/>
  <c r="F112" i="18"/>
  <c r="F100" i="18"/>
  <c r="F77" i="18"/>
  <c r="F65" i="18"/>
  <c r="F53" i="18"/>
  <c r="F45" i="18"/>
  <c r="F37" i="18"/>
  <c r="F29" i="18"/>
  <c r="F133" i="18"/>
  <c r="F125" i="18"/>
  <c r="F114" i="18"/>
  <c r="F111" i="18"/>
  <c r="F109" i="18"/>
  <c r="F108" i="18"/>
  <c r="F101" i="18"/>
  <c r="F96" i="18"/>
  <c r="F87" i="18"/>
  <c r="F84" i="18"/>
  <c r="F76" i="18"/>
  <c r="F64" i="18"/>
  <c r="F59" i="18"/>
  <c r="F58" i="18"/>
  <c r="F52" i="18"/>
  <c r="F44" i="18"/>
  <c r="F36" i="18"/>
  <c r="F28" i="18"/>
  <c r="H27" i="14"/>
  <c r="N18" i="14"/>
  <c r="X18" i="93"/>
  <c r="P27" i="93"/>
  <c r="T27" i="94"/>
  <c r="Z18" i="94"/>
  <c r="Z18" i="93"/>
  <c r="T27" i="93"/>
  <c r="T79" i="92"/>
  <c r="R94" i="91"/>
  <c r="R88" i="91"/>
  <c r="R85" i="91"/>
  <c r="R76" i="91"/>
  <c r="R72" i="91"/>
  <c r="R68" i="91"/>
  <c r="R44" i="91"/>
  <c r="R71" i="91"/>
  <c r="R67" i="91"/>
  <c r="R64" i="91"/>
  <c r="R59" i="91"/>
  <c r="R56" i="91"/>
  <c r="R51" i="91"/>
  <c r="R48" i="91"/>
  <c r="R43" i="91"/>
  <c r="R81" i="91"/>
  <c r="R70" i="91"/>
  <c r="R66" i="91"/>
  <c r="R61" i="91"/>
  <c r="R58" i="91"/>
  <c r="R53" i="91"/>
  <c r="R50" i="91"/>
  <c r="R84" i="91"/>
  <c r="R80" i="91"/>
  <c r="R86" i="91"/>
  <c r="R83" i="91"/>
  <c r="R78" i="91"/>
  <c r="R74" i="91"/>
  <c r="R46" i="91"/>
  <c r="R31" i="91"/>
  <c r="R19" i="91"/>
  <c r="R87" i="91"/>
  <c r="R55" i="91"/>
  <c r="R42" i="91"/>
  <c r="R30" i="91"/>
  <c r="R82" i="91"/>
  <c r="R75" i="91"/>
  <c r="R41" i="91"/>
  <c r="R29" i="91"/>
  <c r="R18" i="91"/>
  <c r="R60" i="91"/>
  <c r="R45" i="91"/>
  <c r="R40" i="91"/>
  <c r="R36" i="91"/>
  <c r="R28" i="91"/>
  <c r="R23" i="91"/>
  <c r="R90" i="91"/>
  <c r="R79" i="91"/>
  <c r="R62" i="91"/>
  <c r="R49" i="91"/>
  <c r="R39" i="91"/>
  <c r="R35" i="91"/>
  <c r="R27" i="91"/>
  <c r="R25" i="91"/>
  <c r="P23" i="91"/>
  <c r="R38" i="91"/>
  <c r="R34" i="91"/>
  <c r="R77" i="91"/>
  <c r="R69" i="91"/>
  <c r="R65" i="91"/>
  <c r="R63" i="91"/>
  <c r="R52" i="91"/>
  <c r="R47" i="91"/>
  <c r="R33" i="91"/>
  <c r="R26" i="91"/>
  <c r="R21" i="91"/>
  <c r="R32" i="91"/>
  <c r="R57" i="91"/>
  <c r="X12" i="91"/>
  <c r="Z12" i="91" s="1"/>
  <c r="R37" i="91"/>
  <c r="R73" i="91"/>
  <c r="R54" i="91"/>
  <c r="R20" i="91"/>
  <c r="D75" i="92"/>
  <c r="L17" i="92"/>
  <c r="N17" i="92" s="1"/>
  <c r="F17" i="92"/>
  <c r="F72" i="92"/>
  <c r="V93" i="90"/>
  <c r="N19" i="89"/>
  <c r="H36" i="89"/>
  <c r="J23" i="88"/>
  <c r="P36" i="86"/>
  <c r="X18" i="86"/>
  <c r="R18" i="86"/>
  <c r="H36" i="86"/>
  <c r="N18" i="86"/>
  <c r="T36" i="86"/>
  <c r="Z18" i="86"/>
  <c r="F83" i="83"/>
  <c r="F87" i="83"/>
  <c r="F97" i="83"/>
  <c r="F90" i="83"/>
  <c r="F85" i="83"/>
  <c r="F80" i="83"/>
  <c r="F88" i="83"/>
  <c r="F78" i="83"/>
  <c r="F94" i="83"/>
  <c r="F84" i="83"/>
  <c r="F81" i="83"/>
  <c r="F55" i="83"/>
  <c r="F52" i="83"/>
  <c r="F36" i="83"/>
  <c r="F32" i="83"/>
  <c r="F24" i="83"/>
  <c r="F92" i="83"/>
  <c r="F77" i="83"/>
  <c r="F66" i="83"/>
  <c r="F58" i="83"/>
  <c r="F46" i="83"/>
  <c r="F43" i="83"/>
  <c r="F35" i="83"/>
  <c r="F31" i="83"/>
  <c r="F20" i="83"/>
  <c r="F79" i="83"/>
  <c r="F76" i="83"/>
  <c r="F75" i="83"/>
  <c r="F74" i="83"/>
  <c r="F61" i="83"/>
  <c r="F54" i="83"/>
  <c r="F42" i="83"/>
  <c r="F34" i="83"/>
  <c r="F30" i="83"/>
  <c r="D20" i="83"/>
  <c r="F18" i="83"/>
  <c r="F82" i="83"/>
  <c r="F73" i="83"/>
  <c r="F68" i="83"/>
  <c r="F65" i="83"/>
  <c r="F57" i="83"/>
  <c r="F48" i="83"/>
  <c r="F45" i="83"/>
  <c r="F41" i="83"/>
  <c r="F29" i="83"/>
  <c r="F17" i="83"/>
  <c r="F72" i="83"/>
  <c r="F64" i="83"/>
  <c r="F60" i="83"/>
  <c r="F56" i="83"/>
  <c r="F51" i="83"/>
  <c r="F40" i="83"/>
  <c r="F28" i="83"/>
  <c r="F23" i="83"/>
  <c r="F22" i="83"/>
  <c r="L12" i="83"/>
  <c r="N12" i="83" s="1"/>
  <c r="F71" i="83"/>
  <c r="F67" i="83"/>
  <c r="F63" i="83"/>
  <c r="F59" i="83"/>
  <c r="F47" i="83"/>
  <c r="F39" i="83"/>
  <c r="F27" i="83"/>
  <c r="F70" i="83"/>
  <c r="F62" i="83"/>
  <c r="F53" i="83"/>
  <c r="F50" i="83"/>
  <c r="F38" i="83"/>
  <c r="F33" i="83"/>
  <c r="F26" i="83"/>
  <c r="F69" i="83"/>
  <c r="F37" i="83"/>
  <c r="F16" i="83"/>
  <c r="F25" i="83"/>
  <c r="F49" i="83"/>
  <c r="F44" i="83"/>
  <c r="T97" i="83"/>
  <c r="R95" i="82"/>
  <c r="R79" i="82"/>
  <c r="R71" i="82"/>
  <c r="R51" i="82"/>
  <c r="R48" i="82"/>
  <c r="R43" i="82"/>
  <c r="R31" i="82"/>
  <c r="R91" i="82"/>
  <c r="R78" i="82"/>
  <c r="R75" i="82"/>
  <c r="R67" i="82"/>
  <c r="R62" i="82"/>
  <c r="R59" i="82"/>
  <c r="R42" i="82"/>
  <c r="R85" i="82"/>
  <c r="R70" i="82"/>
  <c r="R53" i="82"/>
  <c r="R50" i="82"/>
  <c r="R41" i="82"/>
  <c r="R88" i="82"/>
  <c r="R84" i="82"/>
  <c r="R77" i="82"/>
  <c r="R64" i="82"/>
  <c r="R61" i="82"/>
  <c r="R56" i="82"/>
  <c r="R99" i="82"/>
  <c r="R94" i="82"/>
  <c r="R87" i="82"/>
  <c r="R83" i="82"/>
  <c r="R55" i="82"/>
  <c r="R52" i="82"/>
  <c r="R47" i="82"/>
  <c r="R39" i="82"/>
  <c r="R35" i="82"/>
  <c r="R90" i="82"/>
  <c r="R82" i="82"/>
  <c r="R74" i="82"/>
  <c r="R66" i="82"/>
  <c r="R63" i="82"/>
  <c r="R58" i="82"/>
  <c r="R46" i="82"/>
  <c r="R38" i="82"/>
  <c r="R34" i="82"/>
  <c r="R86" i="82"/>
  <c r="R81" i="82"/>
  <c r="R73" i="82"/>
  <c r="R69" i="82"/>
  <c r="R54" i="82"/>
  <c r="R49" i="82"/>
  <c r="R45" i="82"/>
  <c r="R33" i="82"/>
  <c r="R37" i="82"/>
  <c r="R32" i="82"/>
  <c r="R27" i="82"/>
  <c r="R25" i="82"/>
  <c r="P23" i="82"/>
  <c r="R36" i="82"/>
  <c r="R76" i="82"/>
  <c r="R26" i="82"/>
  <c r="R21" i="82"/>
  <c r="R80" i="82"/>
  <c r="R68" i="82"/>
  <c r="R60" i="82"/>
  <c r="R20" i="82"/>
  <c r="X12" i="82"/>
  <c r="Z12" i="82" s="1"/>
  <c r="R19" i="82"/>
  <c r="R65" i="82"/>
  <c r="R40" i="82"/>
  <c r="R89" i="82"/>
  <c r="R30" i="82"/>
  <c r="R18" i="82"/>
  <c r="R23" i="82"/>
  <c r="R57" i="82"/>
  <c r="R72" i="82"/>
  <c r="R28" i="82"/>
  <c r="R44" i="82"/>
  <c r="R29" i="82"/>
  <c r="R92" i="82"/>
  <c r="D97" i="82"/>
  <c r="L23" i="82"/>
  <c r="N23" i="82" s="1"/>
  <c r="D80" i="78"/>
  <c r="L16" i="78"/>
  <c r="T25" i="72"/>
  <c r="L24" i="74"/>
  <c r="N24" i="74" s="1"/>
  <c r="D90" i="74"/>
  <c r="R86" i="74"/>
  <c r="R66" i="74"/>
  <c r="R63" i="74"/>
  <c r="R58" i="74"/>
  <c r="R46" i="74"/>
  <c r="R38" i="74"/>
  <c r="R34" i="74"/>
  <c r="R27" i="74"/>
  <c r="R22" i="74"/>
  <c r="R82" i="74"/>
  <c r="R69" i="74"/>
  <c r="R57" i="74"/>
  <c r="R54" i="74"/>
  <c r="R49" i="74"/>
  <c r="R45" i="74"/>
  <c r="R33" i="74"/>
  <c r="R21" i="74"/>
  <c r="R85" i="74"/>
  <c r="R72" i="74"/>
  <c r="R68" i="74"/>
  <c r="R65" i="74"/>
  <c r="R60" i="74"/>
  <c r="R44" i="74"/>
  <c r="R37" i="74"/>
  <c r="R32" i="74"/>
  <c r="R20" i="74"/>
  <c r="X12" i="74"/>
  <c r="Z12" i="74" s="1"/>
  <c r="R92" i="74"/>
  <c r="R79" i="74"/>
  <c r="R75" i="74"/>
  <c r="R71" i="74"/>
  <c r="R56" i="74"/>
  <c r="R51" i="74"/>
  <c r="R48" i="74"/>
  <c r="R43" i="74"/>
  <c r="R31" i="74"/>
  <c r="R19" i="74"/>
  <c r="R78" i="74"/>
  <c r="R74" i="74"/>
  <c r="R67" i="74"/>
  <c r="R62" i="74"/>
  <c r="R59" i="74"/>
  <c r="R42" i="74"/>
  <c r="R30" i="74"/>
  <c r="R84" i="74"/>
  <c r="R73" i="74"/>
  <c r="R64" i="74"/>
  <c r="R61" i="74"/>
  <c r="R40" i="74"/>
  <c r="R36" i="74"/>
  <c r="R28" i="74"/>
  <c r="R26" i="74"/>
  <c r="P24" i="74"/>
  <c r="R83" i="74"/>
  <c r="R80" i="74"/>
  <c r="R76" i="74"/>
  <c r="R55" i="74"/>
  <c r="R52" i="74"/>
  <c r="R47" i="74"/>
  <c r="R39" i="74"/>
  <c r="R35" i="74"/>
  <c r="R88" i="74"/>
  <c r="R50" i="74"/>
  <c r="R29" i="74"/>
  <c r="R53" i="74"/>
  <c r="R41" i="74"/>
  <c r="R18" i="74"/>
  <c r="R77" i="74"/>
  <c r="R24" i="74"/>
  <c r="R81" i="74"/>
  <c r="R70" i="74"/>
  <c r="H78" i="68"/>
  <c r="F75" i="68"/>
  <c r="F110" i="67"/>
  <c r="F104" i="67"/>
  <c r="F103" i="67"/>
  <c r="F105" i="67"/>
  <c r="F100" i="67"/>
  <c r="F108" i="67"/>
  <c r="F102" i="67"/>
  <c r="F99" i="67"/>
  <c r="F83" i="67"/>
  <c r="F80" i="67"/>
  <c r="F56" i="67"/>
  <c r="F52" i="67"/>
  <c r="F44" i="67"/>
  <c r="F32" i="67"/>
  <c r="F24" i="67"/>
  <c r="F19" i="67"/>
  <c r="F109" i="67"/>
  <c r="F101" i="67"/>
  <c r="F74" i="67"/>
  <c r="F71" i="67"/>
  <c r="F66" i="67"/>
  <c r="F63" i="67"/>
  <c r="F55" i="67"/>
  <c r="F51" i="67"/>
  <c r="F31" i="67"/>
  <c r="F23" i="67"/>
  <c r="F85" i="67"/>
  <c r="F82" i="67"/>
  <c r="F62" i="67"/>
  <c r="F54" i="67"/>
  <c r="F50" i="67"/>
  <c r="D40" i="67"/>
  <c r="F38" i="67"/>
  <c r="F30" i="67"/>
  <c r="F22" i="67"/>
  <c r="L12" i="67"/>
  <c r="N12" i="67" s="1"/>
  <c r="F92" i="67"/>
  <c r="F88" i="67"/>
  <c r="F76" i="67"/>
  <c r="F73" i="67"/>
  <c r="F68" i="67"/>
  <c r="F65" i="67"/>
  <c r="F61" i="67"/>
  <c r="F49" i="67"/>
  <c r="F37" i="67"/>
  <c r="F29" i="67"/>
  <c r="F21" i="67"/>
  <c r="F114" i="67"/>
  <c r="F107" i="67"/>
  <c r="F98" i="67"/>
  <c r="F97" i="67"/>
  <c r="F96" i="67"/>
  <c r="F84" i="67"/>
  <c r="F79" i="67"/>
  <c r="F60" i="67"/>
  <c r="F48" i="67"/>
  <c r="F43" i="67"/>
  <c r="F42" i="67"/>
  <c r="F36" i="67"/>
  <c r="F28" i="67"/>
  <c r="F20" i="67"/>
  <c r="F91" i="67"/>
  <c r="F87" i="67"/>
  <c r="F75" i="67"/>
  <c r="F70" i="67"/>
  <c r="F67" i="67"/>
  <c r="F59" i="67"/>
  <c r="F47" i="67"/>
  <c r="F35" i="67"/>
  <c r="F27" i="67"/>
  <c r="F90" i="67"/>
  <c r="F86" i="67"/>
  <c r="F81" i="67"/>
  <c r="F78" i="67"/>
  <c r="F58" i="67"/>
  <c r="F53" i="67"/>
  <c r="F46" i="67"/>
  <c r="F34" i="67"/>
  <c r="F26" i="67"/>
  <c r="F95" i="67"/>
  <c r="F94" i="67"/>
  <c r="F93" i="67"/>
  <c r="F89" i="67"/>
  <c r="F77" i="67"/>
  <c r="F72" i="67"/>
  <c r="F69" i="67"/>
  <c r="F64" i="67"/>
  <c r="F57" i="67"/>
  <c r="F45" i="67"/>
  <c r="F33" i="67"/>
  <c r="F25" i="67"/>
  <c r="J40" i="67"/>
  <c r="R61" i="64"/>
  <c r="R55" i="64"/>
  <c r="R52" i="64"/>
  <c r="R28" i="64"/>
  <c r="R19" i="64"/>
  <c r="R48" i="64"/>
  <c r="R44" i="64"/>
  <c r="R41" i="64"/>
  <c r="R36" i="64"/>
  <c r="R33" i="64"/>
  <c r="R51" i="64"/>
  <c r="R47" i="64"/>
  <c r="R27" i="64"/>
  <c r="R57" i="64"/>
  <c r="R50" i="64"/>
  <c r="R43" i="64"/>
  <c r="R38" i="64"/>
  <c r="R35" i="64"/>
  <c r="R30" i="64"/>
  <c r="R26" i="64"/>
  <c r="R24" i="64"/>
  <c r="P22" i="64"/>
  <c r="R53" i="64"/>
  <c r="R46" i="64"/>
  <c r="R29" i="64"/>
  <c r="R49" i="64"/>
  <c r="R40" i="64"/>
  <c r="R37" i="64"/>
  <c r="R32" i="64"/>
  <c r="R25" i="64"/>
  <c r="R20" i="64"/>
  <c r="X12" i="64"/>
  <c r="R42" i="64"/>
  <c r="R31" i="64"/>
  <c r="R39" i="64"/>
  <c r="R45" i="64"/>
  <c r="R54" i="64"/>
  <c r="R34" i="64"/>
  <c r="R18" i="64"/>
  <c r="T97" i="65"/>
  <c r="L16" i="61"/>
  <c r="D57" i="61"/>
  <c r="T27" i="53"/>
  <c r="Z18" i="53"/>
  <c r="R74" i="51"/>
  <c r="R54" i="51"/>
  <c r="R46" i="51"/>
  <c r="R42" i="51"/>
  <c r="R22" i="51"/>
  <c r="X12" i="51"/>
  <c r="Z12" i="51" s="1"/>
  <c r="R77" i="51"/>
  <c r="R70" i="51"/>
  <c r="R65" i="51"/>
  <c r="R62" i="51"/>
  <c r="R57" i="51"/>
  <c r="R53" i="51"/>
  <c r="R41" i="51"/>
  <c r="R34" i="51"/>
  <c r="R29" i="51"/>
  <c r="R21" i="51"/>
  <c r="R73" i="51"/>
  <c r="R52" i="51"/>
  <c r="R45" i="51"/>
  <c r="R40" i="51"/>
  <c r="R28" i="51"/>
  <c r="R20" i="51"/>
  <c r="R79" i="51"/>
  <c r="R67" i="51"/>
  <c r="R64" i="51"/>
  <c r="R59" i="51"/>
  <c r="R56" i="51"/>
  <c r="R51" i="51"/>
  <c r="R39" i="51"/>
  <c r="R27" i="51"/>
  <c r="R50" i="51"/>
  <c r="R38" i="51"/>
  <c r="R26" i="51"/>
  <c r="R19" i="51"/>
  <c r="R76" i="51"/>
  <c r="R69" i="51"/>
  <c r="R66" i="51"/>
  <c r="R61" i="51"/>
  <c r="R58" i="51"/>
  <c r="R49" i="51"/>
  <c r="R37" i="51"/>
  <c r="R25" i="51"/>
  <c r="R78" i="51"/>
  <c r="R72" i="51"/>
  <c r="R48" i="51"/>
  <c r="R44" i="51"/>
  <c r="R36" i="51"/>
  <c r="R24" i="51"/>
  <c r="R83" i="51"/>
  <c r="R71" i="51"/>
  <c r="R68" i="51"/>
  <c r="R63" i="51"/>
  <c r="R60" i="51"/>
  <c r="R55" i="51"/>
  <c r="R47" i="51"/>
  <c r="R43" i="51"/>
  <c r="R35" i="51"/>
  <c r="R33" i="51"/>
  <c r="P31" i="51"/>
  <c r="R31" i="51" s="1"/>
  <c r="R23" i="51"/>
  <c r="L18" i="49"/>
  <c r="D27" i="49"/>
  <c r="H116" i="39"/>
  <c r="T36" i="43"/>
  <c r="Z36" i="43" s="1"/>
  <c r="Z31" i="43"/>
  <c r="L18" i="38"/>
  <c r="D27" i="38"/>
  <c r="F72" i="48"/>
  <c r="H106" i="45"/>
  <c r="H27" i="35"/>
  <c r="N18" i="35"/>
  <c r="H27" i="33"/>
  <c r="N18" i="33"/>
  <c r="X18" i="29"/>
  <c r="P27" i="29"/>
  <c r="X27" i="33"/>
  <c r="P31" i="33"/>
  <c r="T27" i="24"/>
  <c r="Z18" i="24"/>
  <c r="P31" i="22"/>
  <c r="D27" i="20"/>
  <c r="L18" i="20"/>
  <c r="N27" i="23"/>
  <c r="N27" i="26"/>
  <c r="H31" i="26"/>
  <c r="L18" i="17"/>
  <c r="D27" i="17"/>
  <c r="T93" i="25"/>
  <c r="L18" i="19"/>
  <c r="L18" i="16"/>
  <c r="D27" i="16"/>
  <c r="T27" i="14"/>
  <c r="Z18" i="14"/>
  <c r="X25" i="21"/>
  <c r="Z25" i="21" s="1"/>
  <c r="P97" i="21"/>
  <c r="H27" i="17"/>
  <c r="N18" i="17"/>
  <c r="H27" i="7"/>
  <c r="N18" i="7"/>
  <c r="D101" i="9"/>
  <c r="L97" i="9"/>
  <c r="H160" i="12"/>
  <c r="P26" i="6"/>
  <c r="X22" i="6"/>
  <c r="T104" i="9"/>
  <c r="L16" i="9"/>
  <c r="H178" i="3"/>
  <c r="J64" i="3"/>
  <c r="H36" i="8"/>
  <c r="N36" i="8" s="1"/>
  <c r="N31" i="8"/>
  <c r="H66" i="64"/>
  <c r="H27" i="93"/>
  <c r="N18" i="93"/>
  <c r="D36" i="93"/>
  <c r="D92" i="91"/>
  <c r="L23" i="91"/>
  <c r="N23" i="91" s="1"/>
  <c r="D59" i="87"/>
  <c r="L16" i="87"/>
  <c r="P59" i="87"/>
  <c r="X16" i="87"/>
  <c r="T28" i="85"/>
  <c r="Z16" i="85"/>
  <c r="P28" i="81"/>
  <c r="X16" i="81"/>
  <c r="N16" i="80"/>
  <c r="H28" i="80"/>
  <c r="Z16" i="80"/>
  <c r="T28" i="80"/>
  <c r="X28" i="80" s="1"/>
  <c r="T32" i="81"/>
  <c r="Z28" i="81"/>
  <c r="Z16" i="78"/>
  <c r="T80" i="78"/>
  <c r="T32" i="75"/>
  <c r="Z22" i="75"/>
  <c r="T98" i="76"/>
  <c r="N21" i="73"/>
  <c r="H89" i="73"/>
  <c r="J21" i="73"/>
  <c r="L23" i="68"/>
  <c r="N23" i="68" s="1"/>
  <c r="D78" i="68"/>
  <c r="T116" i="67"/>
  <c r="D77" i="71"/>
  <c r="L20" i="71"/>
  <c r="N20" i="71" s="1"/>
  <c r="V112" i="67"/>
  <c r="F89" i="65"/>
  <c r="F87" i="65"/>
  <c r="F82" i="65"/>
  <c r="F69" i="65"/>
  <c r="F66" i="65"/>
  <c r="F54" i="65"/>
  <c r="F46" i="65"/>
  <c r="F42" i="65"/>
  <c r="F22" i="65"/>
  <c r="L12" i="65"/>
  <c r="N12" i="65" s="1"/>
  <c r="F85" i="65"/>
  <c r="F65" i="65"/>
  <c r="F91" i="65"/>
  <c r="F88" i="65"/>
  <c r="F78" i="65"/>
  <c r="F62" i="65"/>
  <c r="F59" i="65"/>
  <c r="F51" i="65"/>
  <c r="F39" i="65"/>
  <c r="F34" i="65"/>
  <c r="F33" i="65"/>
  <c r="F27" i="65"/>
  <c r="F81" i="65"/>
  <c r="F74" i="65"/>
  <c r="F70" i="65"/>
  <c r="F50" i="65"/>
  <c r="F45" i="65"/>
  <c r="F38" i="65"/>
  <c r="F26" i="65"/>
  <c r="F95" i="65"/>
  <c r="F90" i="65"/>
  <c r="F84" i="65"/>
  <c r="F77" i="65"/>
  <c r="F73" i="65"/>
  <c r="F64" i="65"/>
  <c r="F61" i="65"/>
  <c r="F56" i="65"/>
  <c r="F49" i="65"/>
  <c r="F37" i="65"/>
  <c r="F25" i="65"/>
  <c r="F80" i="65"/>
  <c r="F76" i="65"/>
  <c r="F72" i="65"/>
  <c r="F67" i="65"/>
  <c r="F48" i="65"/>
  <c r="F44" i="65"/>
  <c r="F36" i="65"/>
  <c r="F24" i="65"/>
  <c r="F19" i="65"/>
  <c r="F83" i="65"/>
  <c r="F79" i="65"/>
  <c r="F63" i="65"/>
  <c r="F58" i="65"/>
  <c r="F55" i="65"/>
  <c r="F47" i="65"/>
  <c r="F43" i="65"/>
  <c r="F35" i="65"/>
  <c r="F23" i="65"/>
  <c r="F52" i="65"/>
  <c r="F57" i="65"/>
  <c r="F71" i="65"/>
  <c r="F68" i="65"/>
  <c r="F53" i="65"/>
  <c r="F28" i="65"/>
  <c r="F20" i="65"/>
  <c r="F75" i="65"/>
  <c r="F29" i="65"/>
  <c r="F60" i="65"/>
  <c r="F40" i="65"/>
  <c r="F21" i="65"/>
  <c r="F41" i="65"/>
  <c r="D31" i="65"/>
  <c r="D81" i="58"/>
  <c r="L77" i="58"/>
  <c r="N77" i="58" s="1"/>
  <c r="H68" i="57"/>
  <c r="N16" i="57"/>
  <c r="N16" i="55"/>
  <c r="H31" i="55"/>
  <c r="L18" i="53"/>
  <c r="D27" i="53"/>
  <c r="H27" i="47"/>
  <c r="N18" i="47"/>
  <c r="L16" i="55"/>
  <c r="T27" i="50"/>
  <c r="Z18" i="50"/>
  <c r="X17" i="48"/>
  <c r="Z17" i="48" s="1"/>
  <c r="P75" i="48"/>
  <c r="L27" i="43"/>
  <c r="D31" i="43"/>
  <c r="P27" i="50"/>
  <c r="X18" i="50"/>
  <c r="X18" i="46"/>
  <c r="P27" i="46"/>
  <c r="F79" i="51"/>
  <c r="F73" i="51"/>
  <c r="F50" i="51"/>
  <c r="F45" i="51"/>
  <c r="F38" i="51"/>
  <c r="F26" i="51"/>
  <c r="F69" i="51"/>
  <c r="F64" i="51"/>
  <c r="F61" i="51"/>
  <c r="F56" i="51"/>
  <c r="F49" i="51"/>
  <c r="F37" i="51"/>
  <c r="F25" i="51"/>
  <c r="F72" i="51"/>
  <c r="F48" i="51"/>
  <c r="F44" i="51"/>
  <c r="F36" i="51"/>
  <c r="F24" i="51"/>
  <c r="F19" i="51"/>
  <c r="F83" i="51"/>
  <c r="F78" i="51"/>
  <c r="F76" i="51"/>
  <c r="F71" i="51"/>
  <c r="F66" i="51"/>
  <c r="F63" i="51"/>
  <c r="F58" i="51"/>
  <c r="F55" i="51"/>
  <c r="F47" i="51"/>
  <c r="F43" i="51"/>
  <c r="F35" i="51"/>
  <c r="F23" i="51"/>
  <c r="F74" i="51"/>
  <c r="F54" i="51"/>
  <c r="F46" i="51"/>
  <c r="F42" i="51"/>
  <c r="F22" i="51"/>
  <c r="L12" i="51"/>
  <c r="N12" i="51" s="1"/>
  <c r="F68" i="51"/>
  <c r="F65" i="51"/>
  <c r="F60" i="51"/>
  <c r="F57" i="51"/>
  <c r="F53" i="51"/>
  <c r="F41" i="51"/>
  <c r="D31" i="51"/>
  <c r="F29" i="51"/>
  <c r="F77" i="51"/>
  <c r="F52" i="51"/>
  <c r="F40" i="51"/>
  <c r="F28" i="51"/>
  <c r="F20" i="51"/>
  <c r="F70" i="51"/>
  <c r="F67" i="51"/>
  <c r="F62" i="51"/>
  <c r="F59" i="51"/>
  <c r="F51" i="51"/>
  <c r="F39" i="51"/>
  <c r="F34" i="51"/>
  <c r="F33" i="51"/>
  <c r="F27" i="51"/>
  <c r="F21" i="51"/>
  <c r="H27" i="37"/>
  <c r="L27" i="37" s="1"/>
  <c r="N18" i="37"/>
  <c r="P27" i="43"/>
  <c r="X18" i="43"/>
  <c r="X27" i="40"/>
  <c r="P31" i="40"/>
  <c r="F17" i="48"/>
  <c r="F25" i="45"/>
  <c r="H118" i="42"/>
  <c r="H27" i="38"/>
  <c r="N18" i="38"/>
  <c r="T27" i="32"/>
  <c r="X27" i="32" s="1"/>
  <c r="Z18" i="32"/>
  <c r="H27" i="30"/>
  <c r="N18" i="30"/>
  <c r="Z27" i="38"/>
  <c r="T31" i="38"/>
  <c r="X31" i="38" s="1"/>
  <c r="L18" i="33"/>
  <c r="D27" i="33"/>
  <c r="H97" i="21"/>
  <c r="R105" i="28"/>
  <c r="R101" i="28"/>
  <c r="R90" i="28"/>
  <c r="R85" i="28"/>
  <c r="R82" i="28"/>
  <c r="R73" i="28"/>
  <c r="R70" i="28"/>
  <c r="R65" i="28"/>
  <c r="R61" i="28"/>
  <c r="R49" i="28"/>
  <c r="R37" i="28"/>
  <c r="R119" i="28"/>
  <c r="R112" i="28"/>
  <c r="R109" i="28"/>
  <c r="R121" i="28"/>
  <c r="R115" i="28"/>
  <c r="R126" i="28"/>
  <c r="R114" i="28"/>
  <c r="R111" i="28"/>
  <c r="R103" i="28"/>
  <c r="R117" i="28"/>
  <c r="R89" i="28"/>
  <c r="R86" i="28"/>
  <c r="R81" i="28"/>
  <c r="R77" i="28"/>
  <c r="R74" i="28"/>
  <c r="R69" i="28"/>
  <c r="R66" i="28"/>
  <c r="R57" i="28"/>
  <c r="R45" i="28"/>
  <c r="R120" i="28"/>
  <c r="R113" i="28"/>
  <c r="R108" i="28"/>
  <c r="R96" i="28"/>
  <c r="R92" i="28"/>
  <c r="R80" i="28"/>
  <c r="R116" i="28"/>
  <c r="R107" i="28"/>
  <c r="R99" i="28"/>
  <c r="R95" i="28"/>
  <c r="R91" i="28"/>
  <c r="R88" i="28"/>
  <c r="R83" i="28"/>
  <c r="R76" i="28"/>
  <c r="R71" i="28"/>
  <c r="R68" i="28"/>
  <c r="R63" i="28"/>
  <c r="R122" i="28"/>
  <c r="R110" i="28"/>
  <c r="R106" i="28"/>
  <c r="R102" i="28"/>
  <c r="R98" i="28"/>
  <c r="R94" i="28"/>
  <c r="R79" i="28"/>
  <c r="R62" i="28"/>
  <c r="R97" i="28"/>
  <c r="R52" i="28"/>
  <c r="R51" i="28"/>
  <c r="R50" i="28"/>
  <c r="R42" i="28"/>
  <c r="R34" i="28"/>
  <c r="R26" i="28"/>
  <c r="R19" i="28"/>
  <c r="R87" i="28"/>
  <c r="R33" i="28"/>
  <c r="R25" i="28"/>
  <c r="R32" i="28"/>
  <c r="R24" i="28"/>
  <c r="R104" i="28"/>
  <c r="R84" i="28"/>
  <c r="R64" i="28"/>
  <c r="R56" i="28"/>
  <c r="R55" i="28"/>
  <c r="R31" i="28"/>
  <c r="R23" i="28"/>
  <c r="R75" i="28"/>
  <c r="R54" i="28"/>
  <c r="R44" i="28"/>
  <c r="R43" i="28"/>
  <c r="P40" i="28"/>
  <c r="R30" i="28"/>
  <c r="R22" i="28"/>
  <c r="X12" i="28"/>
  <c r="Z12" i="28" s="1"/>
  <c r="R38" i="28"/>
  <c r="R29" i="28"/>
  <c r="R21" i="28"/>
  <c r="R78" i="28"/>
  <c r="R53" i="28"/>
  <c r="R48" i="28"/>
  <c r="R47" i="28"/>
  <c r="R46" i="28"/>
  <c r="R36" i="28"/>
  <c r="R28" i="28"/>
  <c r="R20" i="28"/>
  <c r="R58" i="28"/>
  <c r="R27" i="28"/>
  <c r="R72" i="28"/>
  <c r="R59" i="28"/>
  <c r="R100" i="28"/>
  <c r="R67" i="28"/>
  <c r="R93" i="28"/>
  <c r="R35" i="28"/>
  <c r="R60" i="28"/>
  <c r="H97" i="25"/>
  <c r="H159" i="18"/>
  <c r="R139" i="15"/>
  <c r="R132" i="15"/>
  <c r="R127" i="15"/>
  <c r="R123" i="15"/>
  <c r="R119" i="15"/>
  <c r="R115" i="15"/>
  <c r="R111" i="15"/>
  <c r="R95" i="15"/>
  <c r="R83" i="15"/>
  <c r="R67" i="15"/>
  <c r="R63" i="15"/>
  <c r="R55" i="15"/>
  <c r="R50" i="15"/>
  <c r="R43" i="15"/>
  <c r="R35" i="15"/>
  <c r="R27" i="15"/>
  <c r="R148" i="15"/>
  <c r="R142" i="15"/>
  <c r="R138" i="15"/>
  <c r="R135" i="15"/>
  <c r="R126" i="15"/>
  <c r="R122" i="15"/>
  <c r="R118" i="15"/>
  <c r="R114" i="15"/>
  <c r="R110" i="15"/>
  <c r="R106" i="15"/>
  <c r="R103" i="15"/>
  <c r="R98" i="15"/>
  <c r="R94" i="15"/>
  <c r="R91" i="15"/>
  <c r="R86" i="15"/>
  <c r="R82" i="15"/>
  <c r="R79" i="15"/>
  <c r="R74" i="15"/>
  <c r="R66" i="15"/>
  <c r="R62" i="15"/>
  <c r="R54" i="15"/>
  <c r="R52" i="15"/>
  <c r="P50" i="15"/>
  <c r="R42" i="15"/>
  <c r="R34" i="15"/>
  <c r="R26" i="15"/>
  <c r="X12" i="15"/>
  <c r="Z12" i="15" s="1"/>
  <c r="R153" i="15"/>
  <c r="R145" i="15"/>
  <c r="R125" i="15"/>
  <c r="R113" i="15"/>
  <c r="R109" i="15"/>
  <c r="R97" i="15"/>
  <c r="R85" i="15"/>
  <c r="R73" i="15"/>
  <c r="R65" i="15"/>
  <c r="R61" i="15"/>
  <c r="R41" i="15"/>
  <c r="R33" i="15"/>
  <c r="R25" i="15"/>
  <c r="R141" i="15"/>
  <c r="R137" i="15"/>
  <c r="R121" i="15"/>
  <c r="R117" i="15"/>
  <c r="R108" i="15"/>
  <c r="R105" i="15"/>
  <c r="R100" i="15"/>
  <c r="R93" i="15"/>
  <c r="R88" i="15"/>
  <c r="R81" i="15"/>
  <c r="R76" i="15"/>
  <c r="R72" i="15"/>
  <c r="R60" i="15"/>
  <c r="R53" i="15"/>
  <c r="R48" i="15"/>
  <c r="R40" i="15"/>
  <c r="R32" i="15"/>
  <c r="R24" i="15"/>
  <c r="R147" i="15"/>
  <c r="R131" i="15"/>
  <c r="R124" i="15"/>
  <c r="R112" i="15"/>
  <c r="R96" i="15"/>
  <c r="R84" i="15"/>
  <c r="R71" i="15"/>
  <c r="R64" i="15"/>
  <c r="R59" i="15"/>
  <c r="R47" i="15"/>
  <c r="R39" i="15"/>
  <c r="R31" i="15"/>
  <c r="R23" i="15"/>
  <c r="R134" i="15"/>
  <c r="R130" i="15"/>
  <c r="R107" i="15"/>
  <c r="R102" i="15"/>
  <c r="R99" i="15"/>
  <c r="R90" i="15"/>
  <c r="R87" i="15"/>
  <c r="R78" i="15"/>
  <c r="R75" i="15"/>
  <c r="R70" i="15"/>
  <c r="R58" i="15"/>
  <c r="R46" i="15"/>
  <c r="R38" i="15"/>
  <c r="R30" i="15"/>
  <c r="R22" i="15"/>
  <c r="R149" i="15"/>
  <c r="R144" i="15"/>
  <c r="R133" i="15"/>
  <c r="R129" i="15"/>
  <c r="R69" i="15"/>
  <c r="R57" i="15"/>
  <c r="R45" i="15"/>
  <c r="R37" i="15"/>
  <c r="R29" i="15"/>
  <c r="R146" i="15"/>
  <c r="R140" i="15"/>
  <c r="R136" i="15"/>
  <c r="R128" i="15"/>
  <c r="R120" i="15"/>
  <c r="R116" i="15"/>
  <c r="R104" i="15"/>
  <c r="R101" i="15"/>
  <c r="R92" i="15"/>
  <c r="R89" i="15"/>
  <c r="R80" i="15"/>
  <c r="R77" i="15"/>
  <c r="R68" i="15"/>
  <c r="R56" i="15"/>
  <c r="R44" i="15"/>
  <c r="R36" i="15"/>
  <c r="R28" i="15"/>
  <c r="R21" i="15"/>
  <c r="V56" i="18"/>
  <c r="L18" i="14"/>
  <c r="D27" i="14"/>
  <c r="F131" i="15"/>
  <c r="F71" i="15"/>
  <c r="F59" i="15"/>
  <c r="F47" i="15"/>
  <c r="F39" i="15"/>
  <c r="F31" i="15"/>
  <c r="F23" i="15"/>
  <c r="F147" i="15"/>
  <c r="F141" i="15"/>
  <c r="F137" i="15"/>
  <c r="F134" i="15"/>
  <c r="F130" i="15"/>
  <c r="F121" i="15"/>
  <c r="F117" i="15"/>
  <c r="F105" i="15"/>
  <c r="F102" i="15"/>
  <c r="F93" i="15"/>
  <c r="F90" i="15"/>
  <c r="F81" i="15"/>
  <c r="F78" i="15"/>
  <c r="F70" i="15"/>
  <c r="F58" i="15"/>
  <c r="F53" i="15"/>
  <c r="F52" i="15"/>
  <c r="F46" i="15"/>
  <c r="F38" i="15"/>
  <c r="F30" i="15"/>
  <c r="F22" i="15"/>
  <c r="F133" i="15"/>
  <c r="F129" i="15"/>
  <c r="F124" i="15"/>
  <c r="F112" i="15"/>
  <c r="F96" i="15"/>
  <c r="F84" i="15"/>
  <c r="F69" i="15"/>
  <c r="F64" i="15"/>
  <c r="F57" i="15"/>
  <c r="F45" i="15"/>
  <c r="F37" i="15"/>
  <c r="F29" i="15"/>
  <c r="F149" i="15"/>
  <c r="F140" i="15"/>
  <c r="F136" i="15"/>
  <c r="F128" i="15"/>
  <c r="F120" i="15"/>
  <c r="F116" i="15"/>
  <c r="F107" i="15"/>
  <c r="F104" i="15"/>
  <c r="F99" i="15"/>
  <c r="F92" i="15"/>
  <c r="F87" i="15"/>
  <c r="F80" i="15"/>
  <c r="F75" i="15"/>
  <c r="F68" i="15"/>
  <c r="F56" i="15"/>
  <c r="F44" i="15"/>
  <c r="F36" i="15"/>
  <c r="F28" i="15"/>
  <c r="F146" i="15"/>
  <c r="F144" i="15"/>
  <c r="F139" i="15"/>
  <c r="F127" i="15"/>
  <c r="F123" i="15"/>
  <c r="F119" i="15"/>
  <c r="F115" i="15"/>
  <c r="F111" i="15"/>
  <c r="F95" i="15"/>
  <c r="F83" i="15"/>
  <c r="F67" i="15"/>
  <c r="F63" i="15"/>
  <c r="F55" i="15"/>
  <c r="F43" i="15"/>
  <c r="F35" i="15"/>
  <c r="F27" i="15"/>
  <c r="F142" i="15"/>
  <c r="F138" i="15"/>
  <c r="F126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2" i="15"/>
  <c r="F34" i="15"/>
  <c r="F26" i="15"/>
  <c r="F21" i="15"/>
  <c r="L12" i="15"/>
  <c r="N12" i="15" s="1"/>
  <c r="F153" i="15"/>
  <c r="F148" i="15"/>
  <c r="F132" i="15"/>
  <c r="F125" i="15"/>
  <c r="F113" i="15"/>
  <c r="F109" i="15"/>
  <c r="F97" i="15"/>
  <c r="F85" i="15"/>
  <c r="F73" i="15"/>
  <c r="F65" i="15"/>
  <c r="F61" i="15"/>
  <c r="F50" i="15"/>
  <c r="F41" i="15"/>
  <c r="F33" i="15"/>
  <c r="F25" i="15"/>
  <c r="F145" i="15"/>
  <c r="F135" i="15"/>
  <c r="F108" i="15"/>
  <c r="F103" i="15"/>
  <c r="F100" i="15"/>
  <c r="F91" i="15"/>
  <c r="F88" i="15"/>
  <c r="F79" i="15"/>
  <c r="F76" i="15"/>
  <c r="F72" i="15"/>
  <c r="F60" i="15"/>
  <c r="D50" i="15"/>
  <c r="F48" i="15"/>
  <c r="F40" i="15"/>
  <c r="F32" i="15"/>
  <c r="F24" i="15"/>
  <c r="T164" i="12"/>
  <c r="H27" i="11"/>
  <c r="N18" i="11"/>
  <c r="F151" i="12"/>
  <c r="F147" i="12"/>
  <c r="F135" i="12"/>
  <c r="F131" i="12"/>
  <c r="F127" i="12"/>
  <c r="F123" i="12"/>
  <c r="F119" i="12"/>
  <c r="F103" i="12"/>
  <c r="F162" i="12"/>
  <c r="F157" i="12"/>
  <c r="F154" i="12"/>
  <c r="F144" i="12"/>
  <c r="F121" i="12"/>
  <c r="F117" i="12"/>
  <c r="F156" i="12"/>
  <c r="F142" i="12"/>
  <c r="F138" i="12"/>
  <c r="F158" i="12"/>
  <c r="F149" i="12"/>
  <c r="F153" i="12"/>
  <c r="F133" i="12"/>
  <c r="F132" i="12"/>
  <c r="F115" i="12"/>
  <c r="F114" i="12"/>
  <c r="F109" i="12"/>
  <c r="F108" i="12"/>
  <c r="F102" i="12"/>
  <c r="F100" i="12"/>
  <c r="F91" i="12"/>
  <c r="F79" i="12"/>
  <c r="F71" i="12"/>
  <c r="F67" i="12"/>
  <c r="F47" i="12"/>
  <c r="F39" i="12"/>
  <c r="F31" i="12"/>
  <c r="F130" i="12"/>
  <c r="F126" i="12"/>
  <c r="F101" i="12"/>
  <c r="F95" i="12"/>
  <c r="F94" i="12"/>
  <c r="F85" i="12"/>
  <c r="F82" i="12"/>
  <c r="F78" i="12"/>
  <c r="F66" i="12"/>
  <c r="D56" i="12"/>
  <c r="F54" i="12"/>
  <c r="F46" i="12"/>
  <c r="F38" i="12"/>
  <c r="F30" i="12"/>
  <c r="F25" i="12"/>
  <c r="F139" i="12"/>
  <c r="F129" i="12"/>
  <c r="F128" i="12"/>
  <c r="F99" i="12"/>
  <c r="F98" i="12"/>
  <c r="F77" i="12"/>
  <c r="F65" i="12"/>
  <c r="F53" i="12"/>
  <c r="F45" i="12"/>
  <c r="F37" i="12"/>
  <c r="F29" i="12"/>
  <c r="F148" i="12"/>
  <c r="F146" i="12"/>
  <c r="F145" i="12"/>
  <c r="F143" i="12"/>
  <c r="F141" i="12"/>
  <c r="F140" i="12"/>
  <c r="F122" i="12"/>
  <c r="F113" i="12"/>
  <c r="F112" i="12"/>
  <c r="F87" i="12"/>
  <c r="F84" i="12"/>
  <c r="F76" i="12"/>
  <c r="F64" i="12"/>
  <c r="F59" i="12"/>
  <c r="F58" i="12"/>
  <c r="F52" i="12"/>
  <c r="F44" i="12"/>
  <c r="F36" i="12"/>
  <c r="F28" i="12"/>
  <c r="F155" i="12"/>
  <c r="F125" i="12"/>
  <c r="F124" i="12"/>
  <c r="F116" i="12"/>
  <c r="F107" i="12"/>
  <c r="F106" i="12"/>
  <c r="F90" i="12"/>
  <c r="F75" i="12"/>
  <c r="F70" i="12"/>
  <c r="F63" i="12"/>
  <c r="F51" i="12"/>
  <c r="F43" i="12"/>
  <c r="F35" i="12"/>
  <c r="F27" i="12"/>
  <c r="F134" i="12"/>
  <c r="F120" i="12"/>
  <c r="F118" i="12"/>
  <c r="F111" i="12"/>
  <c r="F110" i="12"/>
  <c r="F97" i="12"/>
  <c r="F96" i="12"/>
  <c r="F93" i="12"/>
  <c r="F86" i="12"/>
  <c r="F81" i="12"/>
  <c r="F74" i="12"/>
  <c r="F62" i="12"/>
  <c r="F50" i="12"/>
  <c r="F42" i="12"/>
  <c r="F34" i="12"/>
  <c r="F26" i="12"/>
  <c r="L12" i="12"/>
  <c r="N12" i="12" s="1"/>
  <c r="F150" i="12"/>
  <c r="F136" i="12"/>
  <c r="F89" i="12"/>
  <c r="F73" i="12"/>
  <c r="F69" i="12"/>
  <c r="F61" i="12"/>
  <c r="F49" i="12"/>
  <c r="F41" i="12"/>
  <c r="F33" i="12"/>
  <c r="F137" i="12"/>
  <c r="F105" i="12"/>
  <c r="F104" i="12"/>
  <c r="F92" i="12"/>
  <c r="F88" i="12"/>
  <c r="F83" i="12"/>
  <c r="F80" i="12"/>
  <c r="F72" i="12"/>
  <c r="F68" i="12"/>
  <c r="F60" i="12"/>
  <c r="F48" i="12"/>
  <c r="F40" i="12"/>
  <c r="F32" i="12"/>
  <c r="X18" i="5"/>
  <c r="X18" i="7"/>
  <c r="L64" i="3"/>
  <c r="N64" i="3" s="1"/>
  <c r="D178" i="3"/>
  <c r="Z31" i="33" l="1"/>
  <c r="H31" i="23"/>
  <c r="L31" i="23" s="1"/>
  <c r="T36" i="29"/>
  <c r="Z36" i="29" s="1"/>
  <c r="L36" i="29"/>
  <c r="L27" i="10"/>
  <c r="N27" i="41"/>
  <c r="H31" i="41"/>
  <c r="L31" i="41" s="1"/>
  <c r="H31" i="10"/>
  <c r="L31" i="10" s="1"/>
  <c r="N27" i="10"/>
  <c r="N27" i="30"/>
  <c r="H31" i="30"/>
  <c r="L31" i="30" s="1"/>
  <c r="T31" i="50"/>
  <c r="Z27" i="50"/>
  <c r="H32" i="80"/>
  <c r="L27" i="16"/>
  <c r="D31" i="16"/>
  <c r="Z27" i="24"/>
  <c r="T31" i="24"/>
  <c r="N27" i="35"/>
  <c r="H31" i="35"/>
  <c r="D61" i="61"/>
  <c r="L57" i="61"/>
  <c r="P59" i="64"/>
  <c r="X22" i="64"/>
  <c r="H40" i="86"/>
  <c r="T82" i="92"/>
  <c r="V79" i="92"/>
  <c r="H32" i="72"/>
  <c r="J29" i="72"/>
  <c r="P31" i="8"/>
  <c r="X27" i="8"/>
  <c r="H31" i="4"/>
  <c r="L31" i="4" s="1"/>
  <c r="N27" i="4"/>
  <c r="D36" i="19"/>
  <c r="P102" i="45"/>
  <c r="X25" i="45"/>
  <c r="Z25" i="45" s="1"/>
  <c r="R25" i="45"/>
  <c r="T31" i="47"/>
  <c r="X31" i="47" s="1"/>
  <c r="Z27" i="47"/>
  <c r="D36" i="75"/>
  <c r="L32" i="75"/>
  <c r="F32" i="75"/>
  <c r="P39" i="79"/>
  <c r="X39" i="79" s="1"/>
  <c r="X36" i="79"/>
  <c r="Z36" i="79" s="1"/>
  <c r="H97" i="90"/>
  <c r="J93" i="90"/>
  <c r="D72" i="57"/>
  <c r="L68" i="57"/>
  <c r="D36" i="26"/>
  <c r="L31" i="26"/>
  <c r="P36" i="47"/>
  <c r="H85" i="51"/>
  <c r="J81" i="51"/>
  <c r="T26" i="54"/>
  <c r="Z22" i="54"/>
  <c r="X22" i="54"/>
  <c r="D105" i="62"/>
  <c r="L101" i="62"/>
  <c r="P94" i="76"/>
  <c r="X23" i="76"/>
  <c r="Z23" i="76" s="1"/>
  <c r="P178" i="3"/>
  <c r="X64" i="3"/>
  <c r="Z64" i="3" s="1"/>
  <c r="R64" i="3"/>
  <c r="T31" i="8"/>
  <c r="Z27" i="8"/>
  <c r="L27" i="22"/>
  <c r="D31" i="22"/>
  <c r="L27" i="40"/>
  <c r="D31" i="40"/>
  <c r="X27" i="53"/>
  <c r="P31" i="53"/>
  <c r="P82" i="68"/>
  <c r="X78" i="68"/>
  <c r="Z78" i="68" s="1"/>
  <c r="R78" i="68"/>
  <c r="L28" i="80"/>
  <c r="N28" i="80" s="1"/>
  <c r="D32" i="80"/>
  <c r="D36" i="10"/>
  <c r="H155" i="15"/>
  <c r="J151" i="15"/>
  <c r="H85" i="31"/>
  <c r="J82" i="31"/>
  <c r="D31" i="46"/>
  <c r="L27" i="46"/>
  <c r="H94" i="74"/>
  <c r="J90" i="74"/>
  <c r="P32" i="85"/>
  <c r="X28" i="85"/>
  <c r="L93" i="90"/>
  <c r="N93" i="90" s="1"/>
  <c r="D31" i="94"/>
  <c r="L27" i="94"/>
  <c r="P36" i="40"/>
  <c r="L31" i="51"/>
  <c r="N31" i="51" s="1"/>
  <c r="D81" i="51"/>
  <c r="H72" i="57"/>
  <c r="N68" i="57"/>
  <c r="T36" i="75"/>
  <c r="V32" i="75"/>
  <c r="D63" i="87"/>
  <c r="L59" i="87"/>
  <c r="N27" i="7"/>
  <c r="H31" i="7"/>
  <c r="L31" i="7" s="1"/>
  <c r="N31" i="23"/>
  <c r="P36" i="33"/>
  <c r="X36" i="33" s="1"/>
  <c r="X31" i="33"/>
  <c r="T29" i="72"/>
  <c r="V25" i="72"/>
  <c r="H31" i="14"/>
  <c r="N27" i="14"/>
  <c r="Z27" i="44"/>
  <c r="T31" i="44"/>
  <c r="X27" i="10"/>
  <c r="P31" i="10"/>
  <c r="D31" i="13"/>
  <c r="L27" i="13"/>
  <c r="H60" i="84"/>
  <c r="L60" i="84" s="1"/>
  <c r="Z27" i="52"/>
  <c r="T31" i="52"/>
  <c r="H85" i="69"/>
  <c r="J81" i="69"/>
  <c r="L27" i="5"/>
  <c r="D31" i="5"/>
  <c r="Z27" i="22"/>
  <c r="T31" i="22"/>
  <c r="X31" i="22" s="1"/>
  <c r="H82" i="92"/>
  <c r="J79" i="92"/>
  <c r="H98" i="76"/>
  <c r="J94" i="76"/>
  <c r="T85" i="31"/>
  <c r="V82" i="31"/>
  <c r="P31" i="23"/>
  <c r="X27" i="23"/>
  <c r="P93" i="25"/>
  <c r="X31" i="25"/>
  <c r="Z31" i="25" s="1"/>
  <c r="P36" i="32"/>
  <c r="N27" i="46"/>
  <c r="H31" i="46"/>
  <c r="P81" i="71"/>
  <c r="X77" i="71"/>
  <c r="R77" i="71"/>
  <c r="T182" i="3"/>
  <c r="V178" i="3"/>
  <c r="L27" i="7"/>
  <c r="P31" i="16"/>
  <c r="X27" i="16"/>
  <c r="P64" i="61"/>
  <c r="H101" i="21"/>
  <c r="J97" i="21"/>
  <c r="F31" i="51"/>
  <c r="P31" i="50"/>
  <c r="X27" i="50"/>
  <c r="D81" i="71"/>
  <c r="L77" i="71"/>
  <c r="N77" i="71" s="1"/>
  <c r="F77" i="71"/>
  <c r="T84" i="78"/>
  <c r="H120" i="39"/>
  <c r="J116" i="39"/>
  <c r="D90" i="83"/>
  <c r="L20" i="83"/>
  <c r="N20" i="83" s="1"/>
  <c r="Z27" i="93"/>
  <c r="T31" i="93"/>
  <c r="P35" i="55"/>
  <c r="X31" i="55"/>
  <c r="Z31" i="55" s="1"/>
  <c r="Z27" i="17"/>
  <c r="T31" i="17"/>
  <c r="T31" i="20"/>
  <c r="Z27" i="20"/>
  <c r="T104" i="21"/>
  <c r="V101" i="21"/>
  <c r="V123" i="39"/>
  <c r="H126" i="36"/>
  <c r="J122" i="36"/>
  <c r="H36" i="75"/>
  <c r="N32" i="75"/>
  <c r="J32" i="75"/>
  <c r="X27" i="94"/>
  <c r="P31" i="94"/>
  <c r="X30" i="63"/>
  <c r="Z30" i="63" s="1"/>
  <c r="P87" i="63"/>
  <c r="P36" i="11"/>
  <c r="D36" i="41"/>
  <c r="P114" i="42"/>
  <c r="X24" i="42"/>
  <c r="Z24" i="42" s="1"/>
  <c r="H31" i="50"/>
  <c r="N27" i="50"/>
  <c r="T66" i="60"/>
  <c r="D87" i="63"/>
  <c r="L30" i="63"/>
  <c r="N30" i="63" s="1"/>
  <c r="T85" i="68"/>
  <c r="V82" i="68"/>
  <c r="P93" i="73"/>
  <c r="X89" i="73"/>
  <c r="Z89" i="73" s="1"/>
  <c r="R89" i="73"/>
  <c r="X27" i="27"/>
  <c r="P31" i="27"/>
  <c r="V109" i="45"/>
  <c r="N27" i="49"/>
  <c r="H31" i="49"/>
  <c r="X27" i="44"/>
  <c r="P31" i="44"/>
  <c r="T63" i="64"/>
  <c r="R23" i="76"/>
  <c r="P90" i="83"/>
  <c r="X20" i="83"/>
  <c r="Z20" i="83" s="1"/>
  <c r="D36" i="27"/>
  <c r="D93" i="25"/>
  <c r="L31" i="25"/>
  <c r="N31" i="25" s="1"/>
  <c r="D36" i="37"/>
  <c r="Z31" i="13"/>
  <c r="T36" i="13"/>
  <c r="Z36" i="13" s="1"/>
  <c r="D36" i="7"/>
  <c r="D133" i="34"/>
  <c r="L129" i="34"/>
  <c r="N129" i="34" s="1"/>
  <c r="F129" i="34"/>
  <c r="D33" i="77"/>
  <c r="L30" i="77"/>
  <c r="P84" i="78"/>
  <c r="X80" i="78"/>
  <c r="Z80" i="78" s="1"/>
  <c r="D160" i="12"/>
  <c r="L56" i="12"/>
  <c r="N56" i="12" s="1"/>
  <c r="Z27" i="32"/>
  <c r="T31" i="32"/>
  <c r="X31" i="32" s="1"/>
  <c r="D151" i="15"/>
  <c r="L50" i="15"/>
  <c r="N50" i="15" s="1"/>
  <c r="D31" i="14"/>
  <c r="L27" i="14"/>
  <c r="P151" i="15"/>
  <c r="X50" i="15"/>
  <c r="Z50" i="15" s="1"/>
  <c r="H163" i="18"/>
  <c r="J159" i="18"/>
  <c r="L27" i="33"/>
  <c r="D31" i="33"/>
  <c r="D36" i="43"/>
  <c r="L31" i="43"/>
  <c r="N27" i="47"/>
  <c r="H31" i="47"/>
  <c r="D84" i="58"/>
  <c r="L84" i="58" s="1"/>
  <c r="N84" i="58" s="1"/>
  <c r="L81" i="58"/>
  <c r="N81" i="58" s="1"/>
  <c r="P32" i="81"/>
  <c r="X28" i="81"/>
  <c r="D96" i="91"/>
  <c r="L92" i="91"/>
  <c r="F92" i="91"/>
  <c r="P31" i="6"/>
  <c r="X26" i="6"/>
  <c r="N27" i="17"/>
  <c r="H31" i="17"/>
  <c r="P31" i="29"/>
  <c r="X27" i="29"/>
  <c r="T100" i="65"/>
  <c r="V97" i="65"/>
  <c r="R22" i="64"/>
  <c r="H82" i="68"/>
  <c r="J78" i="68"/>
  <c r="D84" i="78"/>
  <c r="L80" i="78"/>
  <c r="P40" i="86"/>
  <c r="X36" i="86"/>
  <c r="R36" i="86"/>
  <c r="D79" i="92"/>
  <c r="L75" i="92"/>
  <c r="N75" i="92" s="1"/>
  <c r="F75" i="92"/>
  <c r="D159" i="18"/>
  <c r="L56" i="18"/>
  <c r="N56" i="18" s="1"/>
  <c r="P36" i="7"/>
  <c r="D36" i="23"/>
  <c r="T128" i="28"/>
  <c r="V124" i="28"/>
  <c r="H79" i="48"/>
  <c r="J75" i="48"/>
  <c r="H116" i="67"/>
  <c r="J112" i="67"/>
  <c r="P79" i="56"/>
  <c r="X75" i="56"/>
  <c r="Z75" i="56" s="1"/>
  <c r="P31" i="26"/>
  <c r="X27" i="26"/>
  <c r="D26" i="54"/>
  <c r="L22" i="54"/>
  <c r="P71" i="59"/>
  <c r="X67" i="59"/>
  <c r="Z67" i="59" s="1"/>
  <c r="P36" i="89"/>
  <c r="X19" i="89"/>
  <c r="N92" i="91"/>
  <c r="H96" i="91"/>
  <c r="J92" i="91"/>
  <c r="X27" i="14"/>
  <c r="P31" i="14"/>
  <c r="P112" i="67"/>
  <c r="X40" i="67"/>
  <c r="Z40" i="67" s="1"/>
  <c r="H63" i="87"/>
  <c r="N59" i="87"/>
  <c r="T31" i="11"/>
  <c r="X31" i="11" s="1"/>
  <c r="Z27" i="11"/>
  <c r="T36" i="19"/>
  <c r="Z36" i="19" s="1"/>
  <c r="Z31" i="19"/>
  <c r="F31" i="25"/>
  <c r="T31" i="35"/>
  <c r="Z27" i="35"/>
  <c r="D31" i="47"/>
  <c r="L27" i="47"/>
  <c r="N75" i="56"/>
  <c r="H79" i="56"/>
  <c r="D85" i="69"/>
  <c r="L81" i="69"/>
  <c r="N81" i="69" s="1"/>
  <c r="F81" i="69"/>
  <c r="D95" i="88"/>
  <c r="L91" i="88"/>
  <c r="F91" i="88"/>
  <c r="H81" i="71"/>
  <c r="J77" i="71"/>
  <c r="T31" i="95"/>
  <c r="Z27" i="95"/>
  <c r="X23" i="31"/>
  <c r="Z23" i="31" s="1"/>
  <c r="P78" i="31"/>
  <c r="D79" i="48"/>
  <c r="L75" i="48"/>
  <c r="N75" i="48" s="1"/>
  <c r="F75" i="48"/>
  <c r="H33" i="77"/>
  <c r="N33" i="77" s="1"/>
  <c r="N30" i="77"/>
  <c r="H36" i="79"/>
  <c r="L32" i="79"/>
  <c r="N32" i="79" s="1"/>
  <c r="T98" i="88"/>
  <c r="V95" i="88"/>
  <c r="N27" i="95"/>
  <c r="H31" i="95"/>
  <c r="H31" i="11"/>
  <c r="N27" i="11"/>
  <c r="N27" i="38"/>
  <c r="H31" i="38"/>
  <c r="X27" i="43"/>
  <c r="P31" i="43"/>
  <c r="D31" i="53"/>
  <c r="L27" i="53"/>
  <c r="D93" i="65"/>
  <c r="L31" i="65"/>
  <c r="N31" i="65" s="1"/>
  <c r="H93" i="73"/>
  <c r="J89" i="73"/>
  <c r="P101" i="21"/>
  <c r="X97" i="21"/>
  <c r="Z97" i="21" s="1"/>
  <c r="R97" i="21"/>
  <c r="T97" i="25"/>
  <c r="V93" i="25"/>
  <c r="D31" i="20"/>
  <c r="L27" i="20"/>
  <c r="H109" i="45"/>
  <c r="J106" i="45"/>
  <c r="D31" i="49"/>
  <c r="L27" i="49"/>
  <c r="P97" i="82"/>
  <c r="X23" i="82"/>
  <c r="Z23" i="82" s="1"/>
  <c r="P85" i="69"/>
  <c r="X81" i="69"/>
  <c r="R81" i="69"/>
  <c r="P160" i="12"/>
  <c r="X56" i="12"/>
  <c r="Z56" i="12" s="1"/>
  <c r="H131" i="28"/>
  <c r="J128" i="28"/>
  <c r="N27" i="22"/>
  <c r="H31" i="22"/>
  <c r="D122" i="36"/>
  <c r="L27" i="36"/>
  <c r="N27" i="36" s="1"/>
  <c r="H26" i="54"/>
  <c r="N22" i="54"/>
  <c r="P93" i="65"/>
  <c r="X31" i="65"/>
  <c r="Z31" i="65" s="1"/>
  <c r="H35" i="81"/>
  <c r="N35" i="81" s="1"/>
  <c r="N32" i="81"/>
  <c r="P31" i="19"/>
  <c r="X27" i="19"/>
  <c r="D93" i="73"/>
  <c r="L89" i="73"/>
  <c r="N89" i="73" s="1"/>
  <c r="F89" i="73"/>
  <c r="P30" i="77"/>
  <c r="X26" i="77"/>
  <c r="H35" i="85"/>
  <c r="L25" i="21"/>
  <c r="N25" i="21" s="1"/>
  <c r="D97" i="21"/>
  <c r="L94" i="76"/>
  <c r="N94" i="76" s="1"/>
  <c r="D98" i="76"/>
  <c r="F94" i="76"/>
  <c r="T36" i="26"/>
  <c r="Z36" i="26" s="1"/>
  <c r="Z31" i="26"/>
  <c r="T82" i="48"/>
  <c r="V79" i="48"/>
  <c r="H31" i="44"/>
  <c r="N27" i="44"/>
  <c r="L79" i="56"/>
  <c r="D82" i="56"/>
  <c r="D74" i="59"/>
  <c r="H95" i="88"/>
  <c r="N91" i="88"/>
  <c r="J91" i="88"/>
  <c r="T100" i="90"/>
  <c r="V97" i="90"/>
  <c r="T163" i="18"/>
  <c r="V159" i="18"/>
  <c r="P31" i="30"/>
  <c r="X27" i="30"/>
  <c r="P31" i="37"/>
  <c r="X27" i="37"/>
  <c r="T31" i="7"/>
  <c r="X31" i="7" s="1"/>
  <c r="Z27" i="7"/>
  <c r="T155" i="15"/>
  <c r="V151" i="15"/>
  <c r="N27" i="27"/>
  <c r="H31" i="27"/>
  <c r="L27" i="52"/>
  <c r="D31" i="52"/>
  <c r="H100" i="25"/>
  <c r="J97" i="25"/>
  <c r="P124" i="28"/>
  <c r="X40" i="28"/>
  <c r="Z40" i="28" s="1"/>
  <c r="T36" i="38"/>
  <c r="Z36" i="38" s="1"/>
  <c r="Z31" i="38"/>
  <c r="P79" i="48"/>
  <c r="X75" i="48"/>
  <c r="Z75" i="48" s="1"/>
  <c r="R75" i="48"/>
  <c r="F31" i="65"/>
  <c r="T119" i="67"/>
  <c r="V116" i="67"/>
  <c r="Z32" i="81"/>
  <c r="T35" i="81"/>
  <c r="Z35" i="81" s="1"/>
  <c r="T32" i="85"/>
  <c r="Z28" i="85"/>
  <c r="H164" i="12"/>
  <c r="J160" i="12"/>
  <c r="L27" i="17"/>
  <c r="D31" i="17"/>
  <c r="D112" i="67"/>
  <c r="L40" i="67"/>
  <c r="N40" i="67" s="1"/>
  <c r="F40" i="67"/>
  <c r="D101" i="82"/>
  <c r="L97" i="82"/>
  <c r="F97" i="82"/>
  <c r="H40" i="89"/>
  <c r="N36" i="89"/>
  <c r="Z27" i="94"/>
  <c r="T31" i="94"/>
  <c r="P63" i="60"/>
  <c r="X59" i="60"/>
  <c r="Z59" i="60" s="1"/>
  <c r="P101" i="9"/>
  <c r="X97" i="9"/>
  <c r="Z97" i="9" s="1"/>
  <c r="P31" i="20"/>
  <c r="X27" i="20"/>
  <c r="F27" i="36"/>
  <c r="T88" i="51"/>
  <c r="V85" i="51"/>
  <c r="T126" i="36"/>
  <c r="V122" i="36"/>
  <c r="V94" i="63"/>
  <c r="H101" i="9"/>
  <c r="N97" i="9"/>
  <c r="D124" i="28"/>
  <c r="L40" i="28"/>
  <c r="N40" i="28" s="1"/>
  <c r="P75" i="57"/>
  <c r="X72" i="57"/>
  <c r="F30" i="63"/>
  <c r="L32" i="81"/>
  <c r="P79" i="92"/>
  <c r="X75" i="92"/>
  <c r="Z75" i="92" s="1"/>
  <c r="R75" i="92"/>
  <c r="L27" i="32"/>
  <c r="D31" i="32"/>
  <c r="P31" i="95"/>
  <c r="X27" i="95"/>
  <c r="D82" i="31"/>
  <c r="L78" i="31"/>
  <c r="N78" i="31" s="1"/>
  <c r="F78" i="31"/>
  <c r="D31" i="35"/>
  <c r="L27" i="35"/>
  <c r="D36" i="86"/>
  <c r="L18" i="86"/>
  <c r="P31" i="4"/>
  <c r="X27" i="4"/>
  <c r="Z27" i="5"/>
  <c r="T31" i="5"/>
  <c r="X27" i="5"/>
  <c r="R31" i="25"/>
  <c r="T121" i="42"/>
  <c r="V118" i="42"/>
  <c r="N27" i="40"/>
  <c r="H31" i="40"/>
  <c r="D31" i="50"/>
  <c r="L27" i="50"/>
  <c r="D63" i="64"/>
  <c r="L59" i="64"/>
  <c r="N59" i="64" s="1"/>
  <c r="F59" i="64"/>
  <c r="T99" i="91"/>
  <c r="V96" i="91"/>
  <c r="P36" i="75"/>
  <c r="X32" i="75"/>
  <c r="Z32" i="75" s="1"/>
  <c r="R32" i="75"/>
  <c r="T31" i="6"/>
  <c r="Z26" i="6"/>
  <c r="P36" i="13"/>
  <c r="X31" i="13"/>
  <c r="X27" i="24"/>
  <c r="P31" i="24"/>
  <c r="T31" i="40"/>
  <c r="X31" i="40" s="1"/>
  <c r="Z27" i="40"/>
  <c r="T85" i="69"/>
  <c r="Z81" i="69"/>
  <c r="V81" i="69"/>
  <c r="Z39" i="79"/>
  <c r="P31" i="17"/>
  <c r="X27" i="17"/>
  <c r="H101" i="82"/>
  <c r="N97" i="82"/>
  <c r="J97" i="82"/>
  <c r="H121" i="42"/>
  <c r="J118" i="42"/>
  <c r="N27" i="37"/>
  <c r="H31" i="37"/>
  <c r="L31" i="37" s="1"/>
  <c r="H35" i="55"/>
  <c r="L35" i="55" s="1"/>
  <c r="T101" i="76"/>
  <c r="V98" i="76"/>
  <c r="Z28" i="80"/>
  <c r="T32" i="80"/>
  <c r="H182" i="3"/>
  <c r="J178" i="3"/>
  <c r="P36" i="22"/>
  <c r="H31" i="33"/>
  <c r="N27" i="33"/>
  <c r="L27" i="38"/>
  <c r="D31" i="38"/>
  <c r="X24" i="74"/>
  <c r="Z24" i="74" s="1"/>
  <c r="P90" i="74"/>
  <c r="D94" i="74"/>
  <c r="L90" i="74"/>
  <c r="N90" i="74" s="1"/>
  <c r="F90" i="74"/>
  <c r="T40" i="86"/>
  <c r="Z36" i="86"/>
  <c r="X27" i="93"/>
  <c r="P31" i="93"/>
  <c r="T75" i="57"/>
  <c r="Z72" i="57"/>
  <c r="Z27" i="16"/>
  <c r="T31" i="16"/>
  <c r="P133" i="34"/>
  <c r="X129" i="34"/>
  <c r="Z129" i="34" s="1"/>
  <c r="R129" i="34"/>
  <c r="D36" i="30"/>
  <c r="T31" i="49"/>
  <c r="Z27" i="49"/>
  <c r="P81" i="58"/>
  <c r="X77" i="58"/>
  <c r="Z77" i="58" s="1"/>
  <c r="H91" i="63"/>
  <c r="J87" i="63"/>
  <c r="T104" i="82"/>
  <c r="V101" i="82"/>
  <c r="R30" i="63"/>
  <c r="H84" i="78"/>
  <c r="N80" i="78"/>
  <c r="Z27" i="27"/>
  <c r="T31" i="27"/>
  <c r="X25" i="39"/>
  <c r="Z25" i="39" s="1"/>
  <c r="P116" i="39"/>
  <c r="H36" i="43"/>
  <c r="N36" i="43" s="1"/>
  <c r="N31" i="43"/>
  <c r="L24" i="42"/>
  <c r="N24" i="42" s="1"/>
  <c r="D114" i="42"/>
  <c r="L31" i="55"/>
  <c r="N31" i="55" s="1"/>
  <c r="X27" i="52"/>
  <c r="P31" i="52"/>
  <c r="H61" i="61"/>
  <c r="N57" i="61"/>
  <c r="H97" i="65"/>
  <c r="J93" i="65"/>
  <c r="L35" i="81"/>
  <c r="T63" i="87"/>
  <c r="T43" i="89"/>
  <c r="Z43" i="89" s="1"/>
  <c r="Z40" i="89"/>
  <c r="N27" i="20"/>
  <c r="H31" i="20"/>
  <c r="H71" i="59"/>
  <c r="N67" i="59"/>
  <c r="L32" i="85"/>
  <c r="N32" i="85" s="1"/>
  <c r="L36" i="89"/>
  <c r="P126" i="36"/>
  <c r="X122" i="36"/>
  <c r="Z122" i="36" s="1"/>
  <c r="R122" i="36"/>
  <c r="L27" i="4"/>
  <c r="P31" i="35"/>
  <c r="X27" i="35"/>
  <c r="T61" i="61"/>
  <c r="Z57" i="61"/>
  <c r="T94" i="74"/>
  <c r="V90" i="74"/>
  <c r="D31" i="8"/>
  <c r="L27" i="8"/>
  <c r="D31" i="44"/>
  <c r="L27" i="44"/>
  <c r="L29" i="72"/>
  <c r="N29" i="72" s="1"/>
  <c r="P35" i="80"/>
  <c r="X32" i="80"/>
  <c r="D31" i="95"/>
  <c r="L27" i="95"/>
  <c r="D106" i="45"/>
  <c r="L102" i="45"/>
  <c r="N102" i="45" s="1"/>
  <c r="F102" i="45"/>
  <c r="L178" i="3"/>
  <c r="N178" i="3" s="1"/>
  <c r="D182" i="3"/>
  <c r="F178" i="3"/>
  <c r="T167" i="12"/>
  <c r="V164" i="12"/>
  <c r="F56" i="12"/>
  <c r="R40" i="28"/>
  <c r="P31" i="46"/>
  <c r="X27" i="46"/>
  <c r="D82" i="68"/>
  <c r="L78" i="68"/>
  <c r="N78" i="68" s="1"/>
  <c r="F78" i="68"/>
  <c r="P63" i="87"/>
  <c r="X59" i="87"/>
  <c r="Z59" i="87" s="1"/>
  <c r="N27" i="93"/>
  <c r="H31" i="93"/>
  <c r="L27" i="93"/>
  <c r="D104" i="9"/>
  <c r="L101" i="9"/>
  <c r="T31" i="14"/>
  <c r="Z27" i="14"/>
  <c r="H36" i="26"/>
  <c r="N36" i="26" s="1"/>
  <c r="N31" i="26"/>
  <c r="P81" i="51"/>
  <c r="X31" i="51"/>
  <c r="Z31" i="51" s="1"/>
  <c r="Z27" i="53"/>
  <c r="T31" i="53"/>
  <c r="V97" i="83"/>
  <c r="X23" i="91"/>
  <c r="Z23" i="91" s="1"/>
  <c r="P92" i="91"/>
  <c r="H105" i="62"/>
  <c r="N101" i="62"/>
  <c r="T36" i="4"/>
  <c r="Z36" i="4" s="1"/>
  <c r="Z31" i="4"/>
  <c r="R56" i="12"/>
  <c r="P159" i="18"/>
  <c r="X56" i="18"/>
  <c r="Z56" i="18" s="1"/>
  <c r="N27" i="19"/>
  <c r="H31" i="19"/>
  <c r="L31" i="19" s="1"/>
  <c r="L27" i="30"/>
  <c r="T36" i="41"/>
  <c r="Z36" i="41" s="1"/>
  <c r="Z31" i="41"/>
  <c r="D116" i="39"/>
  <c r="L25" i="39"/>
  <c r="N25" i="39" s="1"/>
  <c r="P105" i="62"/>
  <c r="X101" i="62"/>
  <c r="Z101" i="62" s="1"/>
  <c r="T31" i="46"/>
  <c r="Z27" i="46"/>
  <c r="D26" i="6"/>
  <c r="L22" i="6"/>
  <c r="T136" i="34"/>
  <c r="V133" i="34"/>
  <c r="F40" i="28"/>
  <c r="P31" i="49"/>
  <c r="X27" i="49"/>
  <c r="D38" i="55"/>
  <c r="T81" i="71"/>
  <c r="Z77" i="71"/>
  <c r="V77" i="71"/>
  <c r="F25" i="21"/>
  <c r="D31" i="11"/>
  <c r="L27" i="11"/>
  <c r="D36" i="24"/>
  <c r="N27" i="24"/>
  <c r="H31" i="24"/>
  <c r="L31" i="24" s="1"/>
  <c r="N27" i="32"/>
  <c r="H31" i="32"/>
  <c r="X27" i="47"/>
  <c r="T38" i="55"/>
  <c r="T33" i="77"/>
  <c r="Z33" i="77" s="1"/>
  <c r="Z30" i="77"/>
  <c r="L35" i="85"/>
  <c r="D43" i="89"/>
  <c r="L40" i="89"/>
  <c r="F40" i="89"/>
  <c r="D36" i="4"/>
  <c r="N27" i="5"/>
  <c r="H31" i="5"/>
  <c r="H31" i="13"/>
  <c r="N27" i="13"/>
  <c r="J136" i="34"/>
  <c r="P31" i="41"/>
  <c r="X27" i="41"/>
  <c r="H31" i="53"/>
  <c r="N27" i="53"/>
  <c r="T105" i="62"/>
  <c r="T93" i="73"/>
  <c r="V89" i="73"/>
  <c r="H31" i="94"/>
  <c r="N27" i="94"/>
  <c r="L66" i="60"/>
  <c r="N66" i="60" s="1"/>
  <c r="L32" i="72"/>
  <c r="F32" i="72"/>
  <c r="X19" i="72"/>
  <c r="Z19" i="72" s="1"/>
  <c r="P25" i="72"/>
  <c r="L57" i="84"/>
  <c r="N57" i="84" s="1"/>
  <c r="H94" i="83"/>
  <c r="J90" i="83"/>
  <c r="P91" i="88"/>
  <c r="X23" i="88"/>
  <c r="Z23" i="88" s="1"/>
  <c r="D100" i="90"/>
  <c r="L97" i="90"/>
  <c r="F97" i="90"/>
  <c r="P93" i="90"/>
  <c r="X23" i="90"/>
  <c r="Z23" i="90" s="1"/>
  <c r="P57" i="84"/>
  <c r="X53" i="84"/>
  <c r="Z53" i="84" s="1"/>
  <c r="H36" i="23" l="1"/>
  <c r="N36" i="23" s="1"/>
  <c r="X36" i="13"/>
  <c r="H36" i="41"/>
  <c r="N36" i="41" s="1"/>
  <c r="N31" i="41"/>
  <c r="H36" i="10"/>
  <c r="N36" i="10" s="1"/>
  <c r="N31" i="10"/>
  <c r="P60" i="84"/>
  <c r="X60" i="84" s="1"/>
  <c r="Z60" i="84" s="1"/>
  <c r="X57" i="84"/>
  <c r="Z57" i="84" s="1"/>
  <c r="H36" i="13"/>
  <c r="N36" i="13" s="1"/>
  <c r="N31" i="13"/>
  <c r="N31" i="24"/>
  <c r="H36" i="24"/>
  <c r="N36" i="24" s="1"/>
  <c r="P163" i="18"/>
  <c r="X159" i="18"/>
  <c r="Z159" i="18" s="1"/>
  <c r="R159" i="18"/>
  <c r="P66" i="87"/>
  <c r="X63" i="87"/>
  <c r="D109" i="45"/>
  <c r="L106" i="45"/>
  <c r="N106" i="45" s="1"/>
  <c r="F106" i="45"/>
  <c r="P36" i="35"/>
  <c r="X31" i="35"/>
  <c r="H74" i="59"/>
  <c r="D118" i="42"/>
  <c r="L114" i="42"/>
  <c r="N114" i="42" s="1"/>
  <c r="F114" i="42"/>
  <c r="H94" i="63"/>
  <c r="J91" i="63"/>
  <c r="T35" i="80"/>
  <c r="Z32" i="80"/>
  <c r="P36" i="17"/>
  <c r="X31" i="17"/>
  <c r="N31" i="40"/>
  <c r="H36" i="40"/>
  <c r="N36" i="40" s="1"/>
  <c r="P82" i="92"/>
  <c r="X79" i="92"/>
  <c r="Z79" i="92" s="1"/>
  <c r="R79" i="92"/>
  <c r="P104" i="9"/>
  <c r="X104" i="9" s="1"/>
  <c r="Z104" i="9" s="1"/>
  <c r="X101" i="9"/>
  <c r="Z101" i="9" s="1"/>
  <c r="H167" i="12"/>
  <c r="J164" i="12"/>
  <c r="V119" i="67"/>
  <c r="N31" i="27"/>
  <c r="H36" i="27"/>
  <c r="N36" i="27" s="1"/>
  <c r="P36" i="37"/>
  <c r="X36" i="37" s="1"/>
  <c r="X31" i="37"/>
  <c r="V100" i="90"/>
  <c r="D101" i="76"/>
  <c r="L98" i="76"/>
  <c r="F98" i="76"/>
  <c r="P97" i="65"/>
  <c r="X93" i="65"/>
  <c r="Z93" i="65" s="1"/>
  <c r="R93" i="65"/>
  <c r="P101" i="82"/>
  <c r="X97" i="82"/>
  <c r="Z97" i="82" s="1"/>
  <c r="R97" i="82"/>
  <c r="H96" i="73"/>
  <c r="J93" i="73"/>
  <c r="D98" i="88"/>
  <c r="L95" i="88"/>
  <c r="F95" i="88"/>
  <c r="H66" i="87"/>
  <c r="H99" i="91"/>
  <c r="J96" i="91"/>
  <c r="X31" i="6"/>
  <c r="H36" i="47"/>
  <c r="N36" i="47" s="1"/>
  <c r="N31" i="47"/>
  <c r="H166" i="18"/>
  <c r="J163" i="18"/>
  <c r="P36" i="94"/>
  <c r="X31" i="94"/>
  <c r="H129" i="36"/>
  <c r="J126" i="36"/>
  <c r="T36" i="17"/>
  <c r="Z36" i="17" s="1"/>
  <c r="Z31" i="17"/>
  <c r="P84" i="71"/>
  <c r="X81" i="71"/>
  <c r="Z81" i="71" s="1"/>
  <c r="R81" i="71"/>
  <c r="D36" i="13"/>
  <c r="L31" i="13"/>
  <c r="T32" i="72"/>
  <c r="V29" i="72"/>
  <c r="L31" i="94"/>
  <c r="D36" i="94"/>
  <c r="Z26" i="54"/>
  <c r="T31" i="54"/>
  <c r="X26" i="54"/>
  <c r="J32" i="72"/>
  <c r="N32" i="72"/>
  <c r="D36" i="16"/>
  <c r="L36" i="16" s="1"/>
  <c r="L31" i="16"/>
  <c r="H36" i="5"/>
  <c r="N36" i="5" s="1"/>
  <c r="N31" i="5"/>
  <c r="T84" i="71"/>
  <c r="V81" i="71"/>
  <c r="V136" i="34"/>
  <c r="D120" i="39"/>
  <c r="L116" i="39"/>
  <c r="N116" i="39" s="1"/>
  <c r="F116" i="39"/>
  <c r="T36" i="14"/>
  <c r="Z36" i="14" s="1"/>
  <c r="Z31" i="14"/>
  <c r="D36" i="8"/>
  <c r="L36" i="8" s="1"/>
  <c r="L31" i="8"/>
  <c r="H36" i="20"/>
  <c r="N36" i="20" s="1"/>
  <c r="N31" i="20"/>
  <c r="H87" i="78"/>
  <c r="P136" i="34"/>
  <c r="X133" i="34"/>
  <c r="Z133" i="34" s="1"/>
  <c r="R133" i="34"/>
  <c r="T43" i="86"/>
  <c r="D85" i="31"/>
  <c r="L82" i="31"/>
  <c r="N82" i="31" s="1"/>
  <c r="F82" i="31"/>
  <c r="H104" i="9"/>
  <c r="N101" i="9"/>
  <c r="D104" i="82"/>
  <c r="L101" i="82"/>
  <c r="F101" i="82"/>
  <c r="P128" i="28"/>
  <c r="X124" i="28"/>
  <c r="Z124" i="28" s="1"/>
  <c r="R124" i="28"/>
  <c r="N31" i="44"/>
  <c r="H36" i="44"/>
  <c r="N36" i="44" s="1"/>
  <c r="J131" i="28"/>
  <c r="H36" i="38"/>
  <c r="N36" i="38" s="1"/>
  <c r="N31" i="38"/>
  <c r="T36" i="35"/>
  <c r="Z36" i="35" s="1"/>
  <c r="Z31" i="35"/>
  <c r="P36" i="26"/>
  <c r="X36" i="26" s="1"/>
  <c r="X31" i="26"/>
  <c r="H82" i="48"/>
  <c r="J79" i="48"/>
  <c r="P43" i="86"/>
  <c r="X40" i="86"/>
  <c r="Z40" i="86" s="1"/>
  <c r="R40" i="86"/>
  <c r="P36" i="27"/>
  <c r="X31" i="27"/>
  <c r="V85" i="68"/>
  <c r="P118" i="42"/>
  <c r="X114" i="42"/>
  <c r="Z114" i="42" s="1"/>
  <c r="R114" i="42"/>
  <c r="P36" i="50"/>
  <c r="X31" i="50"/>
  <c r="P36" i="16"/>
  <c r="X31" i="16"/>
  <c r="P36" i="23"/>
  <c r="X36" i="23" s="1"/>
  <c r="X31" i="23"/>
  <c r="J82" i="92"/>
  <c r="H88" i="69"/>
  <c r="J85" i="69"/>
  <c r="P36" i="10"/>
  <c r="X36" i="10" s="1"/>
  <c r="X31" i="10"/>
  <c r="L31" i="46"/>
  <c r="D36" i="46"/>
  <c r="D36" i="40"/>
  <c r="L31" i="40"/>
  <c r="P182" i="3"/>
  <c r="X178" i="3"/>
  <c r="Z178" i="3" s="1"/>
  <c r="R178" i="3"/>
  <c r="D75" i="57"/>
  <c r="L72" i="57"/>
  <c r="N72" i="57" s="1"/>
  <c r="D39" i="75"/>
  <c r="L36" i="75"/>
  <c r="F36" i="75"/>
  <c r="P63" i="64"/>
  <c r="X59" i="64"/>
  <c r="Z59" i="64" s="1"/>
  <c r="R59" i="64"/>
  <c r="P29" i="72"/>
  <c r="X25" i="72"/>
  <c r="Z25" i="72" s="1"/>
  <c r="R25" i="72"/>
  <c r="H97" i="83"/>
  <c r="J94" i="83"/>
  <c r="H36" i="53"/>
  <c r="N36" i="53" s="1"/>
  <c r="N31" i="53"/>
  <c r="Z31" i="53"/>
  <c r="T36" i="53"/>
  <c r="Z36" i="53" s="1"/>
  <c r="V167" i="12"/>
  <c r="D36" i="95"/>
  <c r="L31" i="95"/>
  <c r="H100" i="65"/>
  <c r="J97" i="65"/>
  <c r="P84" i="58"/>
  <c r="X84" i="58" s="1"/>
  <c r="Z84" i="58" s="1"/>
  <c r="X81" i="58"/>
  <c r="Z81" i="58" s="1"/>
  <c r="T36" i="16"/>
  <c r="Z36" i="16" s="1"/>
  <c r="Z31" i="16"/>
  <c r="H36" i="33"/>
  <c r="N36" i="33" s="1"/>
  <c r="N31" i="33"/>
  <c r="J121" i="42"/>
  <c r="V99" i="91"/>
  <c r="P36" i="4"/>
  <c r="X36" i="4" s="1"/>
  <c r="X31" i="4"/>
  <c r="V88" i="51"/>
  <c r="P66" i="60"/>
  <c r="X66" i="60" s="1"/>
  <c r="Z66" i="60" s="1"/>
  <c r="X63" i="60"/>
  <c r="Z63" i="60" s="1"/>
  <c r="P36" i="30"/>
  <c r="X36" i="30" s="1"/>
  <c r="X31" i="30"/>
  <c r="D101" i="21"/>
  <c r="L97" i="21"/>
  <c r="N97" i="21" s="1"/>
  <c r="F97" i="21"/>
  <c r="D96" i="73"/>
  <c r="L93" i="73"/>
  <c r="N93" i="73" s="1"/>
  <c r="F93" i="73"/>
  <c r="H31" i="54"/>
  <c r="N26" i="54"/>
  <c r="L31" i="49"/>
  <c r="D36" i="49"/>
  <c r="T100" i="25"/>
  <c r="V97" i="25"/>
  <c r="T36" i="95"/>
  <c r="Z36" i="95" s="1"/>
  <c r="Z31" i="95"/>
  <c r="V100" i="65"/>
  <c r="P155" i="15"/>
  <c r="X151" i="15"/>
  <c r="Z151" i="15" s="1"/>
  <c r="R151" i="15"/>
  <c r="D164" i="12"/>
  <c r="L160" i="12"/>
  <c r="N160" i="12" s="1"/>
  <c r="F160" i="12"/>
  <c r="T66" i="64"/>
  <c r="H123" i="39"/>
  <c r="J120" i="39"/>
  <c r="H36" i="46"/>
  <c r="N36" i="46" s="1"/>
  <c r="N31" i="46"/>
  <c r="H75" i="57"/>
  <c r="D35" i="80"/>
  <c r="L32" i="80"/>
  <c r="P97" i="90"/>
  <c r="X93" i="90"/>
  <c r="Z93" i="90" s="1"/>
  <c r="R93" i="90"/>
  <c r="N31" i="94"/>
  <c r="H36" i="94"/>
  <c r="N36" i="94" s="1"/>
  <c r="D31" i="6"/>
  <c r="L31" i="6" s="1"/>
  <c r="N31" i="6" s="1"/>
  <c r="L26" i="6"/>
  <c r="L104" i="9"/>
  <c r="D85" i="68"/>
  <c r="L82" i="68"/>
  <c r="F82" i="68"/>
  <c r="V121" i="42"/>
  <c r="P36" i="95"/>
  <c r="X31" i="95"/>
  <c r="Z31" i="94"/>
  <c r="T36" i="94"/>
  <c r="Z36" i="94" s="1"/>
  <c r="J100" i="25"/>
  <c r="H98" i="88"/>
  <c r="N95" i="88"/>
  <c r="J95" i="88"/>
  <c r="P164" i="12"/>
  <c r="X160" i="12"/>
  <c r="Z160" i="12" s="1"/>
  <c r="R160" i="12"/>
  <c r="V98" i="88"/>
  <c r="D88" i="69"/>
  <c r="L85" i="69"/>
  <c r="N85" i="69" s="1"/>
  <c r="F85" i="69"/>
  <c r="P40" i="89"/>
  <c r="X36" i="89"/>
  <c r="R36" i="89"/>
  <c r="P82" i="56"/>
  <c r="X82" i="56" s="1"/>
  <c r="Z82" i="56" s="1"/>
  <c r="X79" i="56"/>
  <c r="Z79" i="56" s="1"/>
  <c r="D163" i="18"/>
  <c r="L159" i="18"/>
  <c r="N159" i="18" s="1"/>
  <c r="F159" i="18"/>
  <c r="D87" i="78"/>
  <c r="L87" i="78" s="1"/>
  <c r="L84" i="78"/>
  <c r="N84" i="78" s="1"/>
  <c r="D99" i="91"/>
  <c r="L96" i="91"/>
  <c r="N96" i="91" s="1"/>
  <c r="F96" i="91"/>
  <c r="L36" i="43"/>
  <c r="D136" i="34"/>
  <c r="L133" i="34"/>
  <c r="N133" i="34" s="1"/>
  <c r="F133" i="34"/>
  <c r="D97" i="25"/>
  <c r="L93" i="25"/>
  <c r="N93" i="25" s="1"/>
  <c r="F93" i="25"/>
  <c r="P36" i="44"/>
  <c r="X31" i="44"/>
  <c r="D91" i="63"/>
  <c r="L87" i="63"/>
  <c r="N87" i="63" s="1"/>
  <c r="F87" i="63"/>
  <c r="P38" i="55"/>
  <c r="X38" i="55" s="1"/>
  <c r="X35" i="55"/>
  <c r="Z35" i="55" s="1"/>
  <c r="T36" i="22"/>
  <c r="Z36" i="22" s="1"/>
  <c r="Z31" i="22"/>
  <c r="T36" i="52"/>
  <c r="Z36" i="52" s="1"/>
  <c r="Z31" i="52"/>
  <c r="Z31" i="44"/>
  <c r="T36" i="44"/>
  <c r="Z36" i="44" s="1"/>
  <c r="D66" i="87"/>
  <c r="L66" i="87" s="1"/>
  <c r="L63" i="87"/>
  <c r="N63" i="87" s="1"/>
  <c r="D85" i="51"/>
  <c r="L81" i="51"/>
  <c r="N81" i="51" s="1"/>
  <c r="F81" i="51"/>
  <c r="P35" i="85"/>
  <c r="X32" i="85"/>
  <c r="D36" i="22"/>
  <c r="L31" i="22"/>
  <c r="P98" i="76"/>
  <c r="X94" i="76"/>
  <c r="Z94" i="76" s="1"/>
  <c r="R94" i="76"/>
  <c r="H88" i="51"/>
  <c r="J85" i="51"/>
  <c r="H100" i="90"/>
  <c r="N97" i="90"/>
  <c r="J97" i="90"/>
  <c r="H36" i="4"/>
  <c r="N36" i="4" s="1"/>
  <c r="N31" i="4"/>
  <c r="V82" i="92"/>
  <c r="D64" i="61"/>
  <c r="L61" i="61"/>
  <c r="N61" i="61" s="1"/>
  <c r="H35" i="80"/>
  <c r="N32" i="80"/>
  <c r="Z38" i="55"/>
  <c r="D187" i="3"/>
  <c r="L182" i="3"/>
  <c r="F182" i="3"/>
  <c r="X35" i="80"/>
  <c r="T97" i="74"/>
  <c r="V94" i="74"/>
  <c r="P129" i="36"/>
  <c r="X126" i="36"/>
  <c r="R126" i="36"/>
  <c r="H64" i="61"/>
  <c r="P120" i="39"/>
  <c r="X116" i="39"/>
  <c r="Z116" i="39" s="1"/>
  <c r="R116" i="39"/>
  <c r="Z31" i="49"/>
  <c r="T36" i="49"/>
  <c r="Z36" i="49" s="1"/>
  <c r="D97" i="74"/>
  <c r="L94" i="74"/>
  <c r="F94" i="74"/>
  <c r="V101" i="76"/>
  <c r="T88" i="69"/>
  <c r="V85" i="69"/>
  <c r="Z31" i="6"/>
  <c r="D40" i="86"/>
  <c r="L36" i="86"/>
  <c r="N36" i="86" s="1"/>
  <c r="F36" i="86"/>
  <c r="D36" i="32"/>
  <c r="L31" i="32"/>
  <c r="D116" i="67"/>
  <c r="L112" i="67"/>
  <c r="N112" i="67" s="1"/>
  <c r="F112" i="67"/>
  <c r="T35" i="85"/>
  <c r="Z32" i="85"/>
  <c r="T158" i="15"/>
  <c r="V155" i="15"/>
  <c r="L71" i="59"/>
  <c r="N71" i="59" s="1"/>
  <c r="V82" i="48"/>
  <c r="X31" i="19"/>
  <c r="P36" i="19"/>
  <c r="X36" i="19" s="1"/>
  <c r="D126" i="36"/>
  <c r="L122" i="36"/>
  <c r="N122" i="36" s="1"/>
  <c r="F122" i="36"/>
  <c r="D97" i="65"/>
  <c r="L93" i="65"/>
  <c r="N93" i="65" s="1"/>
  <c r="F93" i="65"/>
  <c r="H36" i="11"/>
  <c r="N36" i="11" s="1"/>
  <c r="N31" i="11"/>
  <c r="N79" i="56"/>
  <c r="H82" i="56"/>
  <c r="P116" i="67"/>
  <c r="X112" i="67"/>
  <c r="Z112" i="67" s="1"/>
  <c r="R112" i="67"/>
  <c r="T131" i="28"/>
  <c r="V128" i="28"/>
  <c r="P36" i="29"/>
  <c r="X36" i="29" s="1"/>
  <c r="X31" i="29"/>
  <c r="D36" i="33"/>
  <c r="L31" i="33"/>
  <c r="D36" i="14"/>
  <c r="L31" i="14"/>
  <c r="P87" i="78"/>
  <c r="X87" i="78" s="1"/>
  <c r="X84" i="78"/>
  <c r="L31" i="27"/>
  <c r="H39" i="75"/>
  <c r="N36" i="75"/>
  <c r="J36" i="75"/>
  <c r="T36" i="93"/>
  <c r="Z36" i="93" s="1"/>
  <c r="Z31" i="93"/>
  <c r="Z84" i="78"/>
  <c r="T87" i="78"/>
  <c r="T187" i="3"/>
  <c r="V182" i="3"/>
  <c r="V85" i="31"/>
  <c r="J85" i="31"/>
  <c r="T36" i="47"/>
  <c r="Z36" i="47" s="1"/>
  <c r="Z31" i="47"/>
  <c r="H36" i="35"/>
  <c r="N36" i="35" s="1"/>
  <c r="N31" i="35"/>
  <c r="L100" i="90"/>
  <c r="F100" i="90"/>
  <c r="D36" i="11"/>
  <c r="L31" i="11"/>
  <c r="P36" i="49"/>
  <c r="X31" i="49"/>
  <c r="Z31" i="46"/>
  <c r="T36" i="46"/>
  <c r="Z36" i="46" s="1"/>
  <c r="H36" i="19"/>
  <c r="N36" i="19" s="1"/>
  <c r="N31" i="19"/>
  <c r="H108" i="62"/>
  <c r="P85" i="51"/>
  <c r="X81" i="51"/>
  <c r="Z81" i="51" s="1"/>
  <c r="R81" i="51"/>
  <c r="N31" i="93"/>
  <c r="H36" i="93"/>
  <c r="L31" i="93"/>
  <c r="P36" i="46"/>
  <c r="X31" i="46"/>
  <c r="P36" i="52"/>
  <c r="X31" i="52"/>
  <c r="V104" i="82"/>
  <c r="X90" i="74"/>
  <c r="Z90" i="74" s="1"/>
  <c r="P94" i="74"/>
  <c r="R90" i="74"/>
  <c r="D66" i="64"/>
  <c r="L63" i="64"/>
  <c r="N63" i="64" s="1"/>
  <c r="F63" i="64"/>
  <c r="X75" i="57"/>
  <c r="Z75" i="57" s="1"/>
  <c r="D36" i="17"/>
  <c r="L31" i="17"/>
  <c r="P82" i="48"/>
  <c r="X79" i="48"/>
  <c r="Z79" i="48" s="1"/>
  <c r="R79" i="48"/>
  <c r="D36" i="52"/>
  <c r="L36" i="52" s="1"/>
  <c r="L31" i="52"/>
  <c r="T166" i="18"/>
  <c r="V163" i="18"/>
  <c r="L74" i="59"/>
  <c r="N35" i="85"/>
  <c r="H36" i="22"/>
  <c r="N36" i="22" s="1"/>
  <c r="N31" i="22"/>
  <c r="J109" i="45"/>
  <c r="P104" i="21"/>
  <c r="X101" i="21"/>
  <c r="Z101" i="21" s="1"/>
  <c r="R101" i="21"/>
  <c r="H84" i="71"/>
  <c r="J81" i="71"/>
  <c r="P36" i="14"/>
  <c r="X31" i="14"/>
  <c r="P74" i="59"/>
  <c r="X74" i="59" s="1"/>
  <c r="Z74" i="59" s="1"/>
  <c r="X71" i="59"/>
  <c r="Z71" i="59" s="1"/>
  <c r="H85" i="68"/>
  <c r="N82" i="68"/>
  <c r="J82" i="68"/>
  <c r="H36" i="17"/>
  <c r="N36" i="17" s="1"/>
  <c r="N31" i="17"/>
  <c r="P35" i="81"/>
  <c r="X35" i="81" s="1"/>
  <c r="X32" i="81"/>
  <c r="H36" i="49"/>
  <c r="N36" i="49" s="1"/>
  <c r="N31" i="49"/>
  <c r="V104" i="21"/>
  <c r="H104" i="21"/>
  <c r="J101" i="21"/>
  <c r="D36" i="5"/>
  <c r="L31" i="5"/>
  <c r="D108" i="62"/>
  <c r="L105" i="62"/>
  <c r="N105" i="62" s="1"/>
  <c r="P36" i="8"/>
  <c r="X31" i="8"/>
  <c r="H43" i="86"/>
  <c r="Z31" i="50"/>
  <c r="T36" i="50"/>
  <c r="Z36" i="50" s="1"/>
  <c r="N31" i="32"/>
  <c r="H36" i="32"/>
  <c r="N36" i="32" s="1"/>
  <c r="P96" i="91"/>
  <c r="X92" i="91"/>
  <c r="Z92" i="91" s="1"/>
  <c r="R92" i="91"/>
  <c r="T64" i="61"/>
  <c r="Z63" i="87"/>
  <c r="T66" i="87"/>
  <c r="T36" i="27"/>
  <c r="Z36" i="27" s="1"/>
  <c r="Z31" i="27"/>
  <c r="P36" i="93"/>
  <c r="X31" i="93"/>
  <c r="H38" i="55"/>
  <c r="L38" i="55" s="1"/>
  <c r="N35" i="55"/>
  <c r="H104" i="82"/>
  <c r="N101" i="82"/>
  <c r="J101" i="82"/>
  <c r="T36" i="40"/>
  <c r="Z36" i="40" s="1"/>
  <c r="Z31" i="40"/>
  <c r="D36" i="35"/>
  <c r="L31" i="35"/>
  <c r="T129" i="36"/>
  <c r="Z126" i="36"/>
  <c r="V126" i="36"/>
  <c r="P36" i="20"/>
  <c r="X31" i="20"/>
  <c r="H43" i="89"/>
  <c r="N43" i="89" s="1"/>
  <c r="N40" i="89"/>
  <c r="T36" i="7"/>
  <c r="Z36" i="7" s="1"/>
  <c r="Z31" i="7"/>
  <c r="L82" i="56"/>
  <c r="P88" i="69"/>
  <c r="X85" i="69"/>
  <c r="Z85" i="69" s="1"/>
  <c r="R85" i="69"/>
  <c r="D36" i="53"/>
  <c r="L31" i="53"/>
  <c r="H39" i="79"/>
  <c r="L36" i="79"/>
  <c r="N36" i="79" s="1"/>
  <c r="D82" i="48"/>
  <c r="L79" i="48"/>
  <c r="N79" i="48" s="1"/>
  <c r="F79" i="48"/>
  <c r="T36" i="11"/>
  <c r="Z36" i="11" s="1"/>
  <c r="Z31" i="11"/>
  <c r="H119" i="67"/>
  <c r="J116" i="67"/>
  <c r="D82" i="92"/>
  <c r="L79" i="92"/>
  <c r="N79" i="92" s="1"/>
  <c r="F79" i="92"/>
  <c r="D155" i="15"/>
  <c r="L151" i="15"/>
  <c r="N151" i="15" s="1"/>
  <c r="F151" i="15"/>
  <c r="L33" i="77"/>
  <c r="P96" i="73"/>
  <c r="X93" i="73"/>
  <c r="R93" i="73"/>
  <c r="P91" i="63"/>
  <c r="X87" i="63"/>
  <c r="Z87" i="63" s="1"/>
  <c r="R87" i="63"/>
  <c r="X61" i="61"/>
  <c r="Z61" i="61" s="1"/>
  <c r="N60" i="84"/>
  <c r="H36" i="14"/>
  <c r="N36" i="14" s="1"/>
  <c r="N31" i="14"/>
  <c r="H36" i="7"/>
  <c r="N36" i="7" s="1"/>
  <c r="N31" i="7"/>
  <c r="T39" i="75"/>
  <c r="V36" i="75"/>
  <c r="P85" i="68"/>
  <c r="X82" i="68"/>
  <c r="Z82" i="68" s="1"/>
  <c r="R82" i="68"/>
  <c r="T36" i="8"/>
  <c r="Z36" i="8" s="1"/>
  <c r="Z31" i="8"/>
  <c r="T36" i="24"/>
  <c r="Z36" i="24" s="1"/>
  <c r="Z31" i="24"/>
  <c r="H36" i="30"/>
  <c r="N36" i="30" s="1"/>
  <c r="N31" i="30"/>
  <c r="P36" i="41"/>
  <c r="X36" i="41" s="1"/>
  <c r="X31" i="41"/>
  <c r="T96" i="73"/>
  <c r="Z93" i="73"/>
  <c r="V93" i="73"/>
  <c r="P95" i="88"/>
  <c r="X91" i="88"/>
  <c r="Z91" i="88" s="1"/>
  <c r="R91" i="88"/>
  <c r="T108" i="62"/>
  <c r="L43" i="89"/>
  <c r="F43" i="89"/>
  <c r="P108" i="62"/>
  <c r="X105" i="62"/>
  <c r="Z105" i="62" s="1"/>
  <c r="D36" i="44"/>
  <c r="L31" i="44"/>
  <c r="D36" i="38"/>
  <c r="L31" i="38"/>
  <c r="H187" i="3"/>
  <c r="N182" i="3"/>
  <c r="J182" i="3"/>
  <c r="H36" i="37"/>
  <c r="N36" i="37" s="1"/>
  <c r="N31" i="37"/>
  <c r="P36" i="24"/>
  <c r="X31" i="24"/>
  <c r="P39" i="75"/>
  <c r="X36" i="75"/>
  <c r="Z36" i="75" s="1"/>
  <c r="R36" i="75"/>
  <c r="L31" i="50"/>
  <c r="D36" i="50"/>
  <c r="T36" i="5"/>
  <c r="Z31" i="5"/>
  <c r="X31" i="5"/>
  <c r="D128" i="28"/>
  <c r="L124" i="28"/>
  <c r="N124" i="28" s="1"/>
  <c r="F124" i="28"/>
  <c r="X36" i="38"/>
  <c r="P33" i="77"/>
  <c r="X33" i="77" s="1"/>
  <c r="X30" i="77"/>
  <c r="D36" i="20"/>
  <c r="L31" i="20"/>
  <c r="P36" i="43"/>
  <c r="X36" i="43" s="1"/>
  <c r="X31" i="43"/>
  <c r="H36" i="95"/>
  <c r="N36" i="95" s="1"/>
  <c r="N31" i="95"/>
  <c r="P82" i="31"/>
  <c r="X78" i="31"/>
  <c r="Z78" i="31" s="1"/>
  <c r="R78" i="31"/>
  <c r="D36" i="47"/>
  <c r="L31" i="47"/>
  <c r="D31" i="54"/>
  <c r="L31" i="54" s="1"/>
  <c r="L26" i="54"/>
  <c r="T36" i="32"/>
  <c r="Z36" i="32" s="1"/>
  <c r="Z31" i="32"/>
  <c r="P94" i="83"/>
  <c r="X90" i="83"/>
  <c r="Z90" i="83" s="1"/>
  <c r="H36" i="50"/>
  <c r="N36" i="50" s="1"/>
  <c r="N31" i="50"/>
  <c r="T36" i="20"/>
  <c r="Z36" i="20" s="1"/>
  <c r="Z31" i="20"/>
  <c r="L90" i="83"/>
  <c r="N90" i="83" s="1"/>
  <c r="D94" i="83"/>
  <c r="D84" i="71"/>
  <c r="L81" i="71"/>
  <c r="N81" i="71" s="1"/>
  <c r="F81" i="71"/>
  <c r="X64" i="61"/>
  <c r="X93" i="25"/>
  <c r="Z93" i="25" s="1"/>
  <c r="P97" i="25"/>
  <c r="R93" i="25"/>
  <c r="H101" i="76"/>
  <c r="N98" i="76"/>
  <c r="J98" i="76"/>
  <c r="N94" i="74"/>
  <c r="H97" i="74"/>
  <c r="J94" i="74"/>
  <c r="H158" i="15"/>
  <c r="J155" i="15"/>
  <c r="P36" i="53"/>
  <c r="X31" i="53"/>
  <c r="L36" i="26"/>
  <c r="P106" i="45"/>
  <c r="X102" i="45"/>
  <c r="Z102" i="45" s="1"/>
  <c r="R102" i="45"/>
  <c r="L36" i="23" l="1"/>
  <c r="L36" i="13"/>
  <c r="L36" i="24"/>
  <c r="L36" i="5"/>
  <c r="X36" i="14"/>
  <c r="L36" i="44"/>
  <c r="L36" i="38"/>
  <c r="X36" i="40"/>
  <c r="L36" i="35"/>
  <c r="X36" i="93"/>
  <c r="X36" i="52"/>
  <c r="L36" i="47"/>
  <c r="X36" i="53"/>
  <c r="L108" i="62"/>
  <c r="L36" i="40"/>
  <c r="X36" i="46"/>
  <c r="L36" i="4"/>
  <c r="X36" i="95"/>
  <c r="L36" i="53"/>
  <c r="X36" i="47"/>
  <c r="X36" i="49"/>
  <c r="X36" i="22"/>
  <c r="L36" i="10"/>
  <c r="L36" i="41"/>
  <c r="L36" i="27"/>
  <c r="L36" i="20"/>
  <c r="X36" i="24"/>
  <c r="L36" i="11"/>
  <c r="L36" i="33"/>
  <c r="L82" i="92"/>
  <c r="N82" i="92" s="1"/>
  <c r="F82" i="92"/>
  <c r="L82" i="48"/>
  <c r="F82" i="48"/>
  <c r="L36" i="30"/>
  <c r="J84" i="71"/>
  <c r="D43" i="86"/>
  <c r="L40" i="86"/>
  <c r="N40" i="86" s="1"/>
  <c r="F40" i="86"/>
  <c r="N100" i="90"/>
  <c r="J100" i="90"/>
  <c r="L36" i="22"/>
  <c r="P43" i="89"/>
  <c r="X40" i="89"/>
  <c r="R40" i="89"/>
  <c r="P167" i="12"/>
  <c r="X164" i="12"/>
  <c r="Z164" i="12" s="1"/>
  <c r="R164" i="12"/>
  <c r="P100" i="90"/>
  <c r="X97" i="90"/>
  <c r="Z97" i="90" s="1"/>
  <c r="R97" i="90"/>
  <c r="J123" i="39"/>
  <c r="P32" i="72"/>
  <c r="X29" i="72"/>
  <c r="Z29" i="72" s="1"/>
  <c r="R29" i="72"/>
  <c r="P121" i="42"/>
  <c r="X118" i="42"/>
  <c r="Z118" i="42" s="1"/>
  <c r="R118" i="42"/>
  <c r="X43" i="86"/>
  <c r="R43" i="86"/>
  <c r="J166" i="18"/>
  <c r="N66" i="87"/>
  <c r="L84" i="71"/>
  <c r="N84" i="71" s="1"/>
  <c r="F84" i="71"/>
  <c r="P97" i="83"/>
  <c r="X97" i="83" s="1"/>
  <c r="Z97" i="83" s="1"/>
  <c r="X94" i="83"/>
  <c r="Z94" i="83" s="1"/>
  <c r="Z36" i="5"/>
  <c r="X36" i="5"/>
  <c r="X85" i="68"/>
  <c r="Z85" i="68" s="1"/>
  <c r="R85" i="68"/>
  <c r="X96" i="73"/>
  <c r="R96" i="73"/>
  <c r="X36" i="20"/>
  <c r="P99" i="91"/>
  <c r="X96" i="91"/>
  <c r="Z96" i="91" s="1"/>
  <c r="R96" i="91"/>
  <c r="X36" i="8"/>
  <c r="J85" i="68"/>
  <c r="X82" i="48"/>
  <c r="Z82" i="48" s="1"/>
  <c r="R82" i="48"/>
  <c r="P97" i="74"/>
  <c r="X94" i="74"/>
  <c r="Z94" i="74" s="1"/>
  <c r="R94" i="74"/>
  <c r="N108" i="62"/>
  <c r="V131" i="28"/>
  <c r="L64" i="61"/>
  <c r="N64" i="61" s="1"/>
  <c r="P158" i="15"/>
  <c r="X155" i="15"/>
  <c r="Z155" i="15" s="1"/>
  <c r="R155" i="15"/>
  <c r="J100" i="65"/>
  <c r="L75" i="57"/>
  <c r="X36" i="7"/>
  <c r="N104" i="9"/>
  <c r="X136" i="34"/>
  <c r="Z136" i="34" s="1"/>
  <c r="R136" i="34"/>
  <c r="V84" i="71"/>
  <c r="X31" i="54"/>
  <c r="Z31" i="54" s="1"/>
  <c r="J129" i="36"/>
  <c r="P104" i="82"/>
  <c r="X101" i="82"/>
  <c r="Z101" i="82" s="1"/>
  <c r="R101" i="82"/>
  <c r="X82" i="92"/>
  <c r="Z82" i="92" s="1"/>
  <c r="R82" i="92"/>
  <c r="X36" i="35"/>
  <c r="P166" i="18"/>
  <c r="X163" i="18"/>
  <c r="Z163" i="18" s="1"/>
  <c r="R163" i="18"/>
  <c r="J158" i="15"/>
  <c r="D97" i="83"/>
  <c r="L97" i="83" s="1"/>
  <c r="L94" i="83"/>
  <c r="N94" i="83" s="1"/>
  <c r="P85" i="31"/>
  <c r="X82" i="31"/>
  <c r="Z82" i="31" s="1"/>
  <c r="R82" i="31"/>
  <c r="L36" i="50"/>
  <c r="P98" i="88"/>
  <c r="X95" i="88"/>
  <c r="Z95" i="88" s="1"/>
  <c r="R95" i="88"/>
  <c r="X88" i="69"/>
  <c r="R88" i="69"/>
  <c r="J104" i="21"/>
  <c r="L36" i="7"/>
  <c r="L36" i="14"/>
  <c r="L97" i="74"/>
  <c r="F97" i="74"/>
  <c r="X35" i="85"/>
  <c r="Z35" i="85" s="1"/>
  <c r="D94" i="63"/>
  <c r="L91" i="63"/>
  <c r="N91" i="63" s="1"/>
  <c r="F91" i="63"/>
  <c r="L136" i="34"/>
  <c r="N136" i="34" s="1"/>
  <c r="F136" i="34"/>
  <c r="L35" i="80"/>
  <c r="L96" i="73"/>
  <c r="N96" i="73" s="1"/>
  <c r="F96" i="73"/>
  <c r="J167" i="12"/>
  <c r="J94" i="63"/>
  <c r="J101" i="76"/>
  <c r="X108" i="62"/>
  <c r="J119" i="67"/>
  <c r="L39" i="79"/>
  <c r="N39" i="79" s="1"/>
  <c r="J104" i="82"/>
  <c r="X104" i="21"/>
  <c r="Z104" i="21" s="1"/>
  <c r="R104" i="21"/>
  <c r="V166" i="18"/>
  <c r="L36" i="17"/>
  <c r="N36" i="93"/>
  <c r="L36" i="93"/>
  <c r="D100" i="65"/>
  <c r="L97" i="65"/>
  <c r="N97" i="65" s="1"/>
  <c r="F97" i="65"/>
  <c r="D119" i="67"/>
  <c r="L116" i="67"/>
  <c r="N116" i="67" s="1"/>
  <c r="F116" i="67"/>
  <c r="L187" i="3"/>
  <c r="N187" i="3" s="1"/>
  <c r="F187" i="3"/>
  <c r="J88" i="51"/>
  <c r="D166" i="18"/>
  <c r="L163" i="18"/>
  <c r="N163" i="18" s="1"/>
  <c r="F163" i="18"/>
  <c r="L88" i="69"/>
  <c r="F88" i="69"/>
  <c r="J98" i="88"/>
  <c r="V100" i="25"/>
  <c r="X63" i="64"/>
  <c r="Z63" i="64" s="1"/>
  <c r="P66" i="64"/>
  <c r="R63" i="64"/>
  <c r="X36" i="16"/>
  <c r="N87" i="78"/>
  <c r="L36" i="94"/>
  <c r="X36" i="94"/>
  <c r="L98" i="88"/>
  <c r="N98" i="88" s="1"/>
  <c r="F98" i="88"/>
  <c r="P109" i="45"/>
  <c r="X106" i="45"/>
  <c r="Z106" i="45" s="1"/>
  <c r="R106" i="45"/>
  <c r="N97" i="74"/>
  <c r="J97" i="74"/>
  <c r="P100" i="25"/>
  <c r="X97" i="25"/>
  <c r="Z97" i="25" s="1"/>
  <c r="R97" i="25"/>
  <c r="V129" i="36"/>
  <c r="P119" i="67"/>
  <c r="X116" i="67"/>
  <c r="Z116" i="67" s="1"/>
  <c r="R116" i="67"/>
  <c r="Z88" i="69"/>
  <c r="V88" i="69"/>
  <c r="X129" i="36"/>
  <c r="Z129" i="36" s="1"/>
  <c r="R129" i="36"/>
  <c r="X36" i="44"/>
  <c r="N75" i="57"/>
  <c r="L36" i="49"/>
  <c r="L36" i="95"/>
  <c r="L36" i="19"/>
  <c r="P187" i="3"/>
  <c r="X182" i="3"/>
  <c r="Z182" i="3" s="1"/>
  <c r="R182" i="3"/>
  <c r="X36" i="27"/>
  <c r="N82" i="48"/>
  <c r="J82" i="48"/>
  <c r="P131" i="28"/>
  <c r="X128" i="28"/>
  <c r="Z128" i="28" s="1"/>
  <c r="R128" i="28"/>
  <c r="L85" i="31"/>
  <c r="N85" i="31" s="1"/>
  <c r="F85" i="31"/>
  <c r="D123" i="39"/>
  <c r="L120" i="39"/>
  <c r="N120" i="39" s="1"/>
  <c r="F120" i="39"/>
  <c r="X84" i="71"/>
  <c r="Z84" i="71" s="1"/>
  <c r="R84" i="71"/>
  <c r="P100" i="65"/>
  <c r="X97" i="65"/>
  <c r="Z97" i="65" s="1"/>
  <c r="R97" i="65"/>
  <c r="L109" i="45"/>
  <c r="N109" i="45" s="1"/>
  <c r="F109" i="45"/>
  <c r="J187" i="3"/>
  <c r="Z96" i="73"/>
  <c r="V96" i="73"/>
  <c r="V39" i="75"/>
  <c r="D158" i="15"/>
  <c r="L155" i="15"/>
  <c r="N155" i="15" s="1"/>
  <c r="F155" i="15"/>
  <c r="N38" i="55"/>
  <c r="Z64" i="61"/>
  <c r="X36" i="11"/>
  <c r="V187" i="3"/>
  <c r="J39" i="75"/>
  <c r="N82" i="56"/>
  <c r="L36" i="32"/>
  <c r="D88" i="51"/>
  <c r="L85" i="51"/>
  <c r="N85" i="51" s="1"/>
  <c r="F85" i="51"/>
  <c r="D104" i="21"/>
  <c r="L101" i="21"/>
  <c r="N101" i="21" s="1"/>
  <c r="F101" i="21"/>
  <c r="N97" i="83"/>
  <c r="J97" i="83"/>
  <c r="N88" i="69"/>
  <c r="J88" i="69"/>
  <c r="X36" i="50"/>
  <c r="L36" i="37"/>
  <c r="X36" i="17"/>
  <c r="D121" i="42"/>
  <c r="L118" i="42"/>
  <c r="N118" i="42" s="1"/>
  <c r="F118" i="42"/>
  <c r="D131" i="28"/>
  <c r="L128" i="28"/>
  <c r="N128" i="28" s="1"/>
  <c r="F128" i="28"/>
  <c r="X39" i="75"/>
  <c r="Z39" i="75" s="1"/>
  <c r="R39" i="75"/>
  <c r="P94" i="63"/>
  <c r="X91" i="63"/>
  <c r="Z91" i="63" s="1"/>
  <c r="R91" i="63"/>
  <c r="D129" i="36"/>
  <c r="L126" i="36"/>
  <c r="N126" i="36" s="1"/>
  <c r="F126" i="36"/>
  <c r="V158" i="15"/>
  <c r="V97" i="74"/>
  <c r="P101" i="76"/>
  <c r="X98" i="76"/>
  <c r="Z98" i="76" s="1"/>
  <c r="R98" i="76"/>
  <c r="L99" i="91"/>
  <c r="F99" i="91"/>
  <c r="L85" i="68"/>
  <c r="N85" i="68" s="1"/>
  <c r="F85" i="68"/>
  <c r="D167" i="12"/>
  <c r="L164" i="12"/>
  <c r="N164" i="12" s="1"/>
  <c r="F164" i="12"/>
  <c r="Z43" i="86"/>
  <c r="N99" i="91"/>
  <c r="J99" i="91"/>
  <c r="J96" i="73"/>
  <c r="X66" i="87"/>
  <c r="Z66" i="87" s="1"/>
  <c r="Z108" i="62"/>
  <c r="X36" i="32"/>
  <c r="L66" i="64"/>
  <c r="N66" i="64" s="1"/>
  <c r="F66" i="64"/>
  <c r="P88" i="51"/>
  <c r="X85" i="51"/>
  <c r="Z85" i="51" s="1"/>
  <c r="R85" i="51"/>
  <c r="Z87" i="78"/>
  <c r="P123" i="39"/>
  <c r="X120" i="39"/>
  <c r="Z120" i="39" s="1"/>
  <c r="R120" i="39"/>
  <c r="N35" i="80"/>
  <c r="D100" i="25"/>
  <c r="L97" i="25"/>
  <c r="N97" i="25" s="1"/>
  <c r="F97" i="25"/>
  <c r="N31" i="54"/>
  <c r="L39" i="75"/>
  <c r="N39" i="75" s="1"/>
  <c r="F39" i="75"/>
  <c r="L36" i="46"/>
  <c r="L104" i="82"/>
  <c r="N104" i="82" s="1"/>
  <c r="F104" i="82"/>
  <c r="V32" i="72"/>
  <c r="L101" i="76"/>
  <c r="N101" i="76" s="1"/>
  <c r="F101" i="76"/>
  <c r="Z35" i="80"/>
  <c r="N74" i="59"/>
  <c r="L158" i="15" l="1"/>
  <c r="N158" i="15" s="1"/>
  <c r="F158" i="15"/>
  <c r="L123" i="39"/>
  <c r="N123" i="39" s="1"/>
  <c r="F123" i="39"/>
  <c r="X104" i="82"/>
  <c r="Z104" i="82" s="1"/>
  <c r="R104" i="82"/>
  <c r="X158" i="15"/>
  <c r="Z158" i="15" s="1"/>
  <c r="R158" i="15"/>
  <c r="X97" i="74"/>
  <c r="Z97" i="74" s="1"/>
  <c r="R97" i="74"/>
  <c r="X99" i="91"/>
  <c r="Z99" i="91" s="1"/>
  <c r="R99" i="91"/>
  <c r="L104" i="21"/>
  <c r="N104" i="21" s="1"/>
  <c r="F104" i="21"/>
  <c r="X109" i="45"/>
  <c r="Z109" i="45" s="1"/>
  <c r="R109" i="45"/>
  <c r="X66" i="64"/>
  <c r="Z66" i="64" s="1"/>
  <c r="R66" i="64"/>
  <c r="X43" i="89"/>
  <c r="R43" i="89"/>
  <c r="L131" i="28"/>
  <c r="N131" i="28" s="1"/>
  <c r="F131" i="28"/>
  <c r="X166" i="18"/>
  <c r="Z166" i="18" s="1"/>
  <c r="R166" i="18"/>
  <c r="X123" i="39"/>
  <c r="Z123" i="39" s="1"/>
  <c r="R123" i="39"/>
  <c r="X101" i="76"/>
  <c r="Z101" i="76" s="1"/>
  <c r="R101" i="76"/>
  <c r="X100" i="65"/>
  <c r="Z100" i="65" s="1"/>
  <c r="R100" i="65"/>
  <c r="X187" i="3"/>
  <c r="Z187" i="3" s="1"/>
  <c r="R187" i="3"/>
  <c r="L119" i="67"/>
  <c r="N119" i="67" s="1"/>
  <c r="F119" i="67"/>
  <c r="L94" i="63"/>
  <c r="N94" i="63" s="1"/>
  <c r="F94" i="63"/>
  <c r="X85" i="31"/>
  <c r="Z85" i="31" s="1"/>
  <c r="R85" i="31"/>
  <c r="X121" i="42"/>
  <c r="Z121" i="42" s="1"/>
  <c r="R121" i="42"/>
  <c r="X100" i="90"/>
  <c r="Z100" i="90" s="1"/>
  <c r="R100" i="90"/>
  <c r="L167" i="12"/>
  <c r="N167" i="12" s="1"/>
  <c r="F167" i="12"/>
  <c r="L88" i="51"/>
  <c r="N88" i="51" s="1"/>
  <c r="F88" i="51"/>
  <c r="X100" i="25"/>
  <c r="Z100" i="25" s="1"/>
  <c r="R100" i="25"/>
  <c r="L166" i="18"/>
  <c r="N166" i="18" s="1"/>
  <c r="F166" i="18"/>
  <c r="X94" i="63"/>
  <c r="Z94" i="63" s="1"/>
  <c r="R94" i="63"/>
  <c r="L121" i="42"/>
  <c r="N121" i="42" s="1"/>
  <c r="F121" i="42"/>
  <c r="X131" i="28"/>
  <c r="Z131" i="28" s="1"/>
  <c r="R131" i="28"/>
  <c r="L100" i="25"/>
  <c r="N100" i="25" s="1"/>
  <c r="F100" i="25"/>
  <c r="X88" i="51"/>
  <c r="Z88" i="51" s="1"/>
  <c r="R88" i="51"/>
  <c r="L100" i="65"/>
  <c r="N100" i="65" s="1"/>
  <c r="F100" i="65"/>
  <c r="X32" i="72"/>
  <c r="Z32" i="72" s="1"/>
  <c r="R32" i="72"/>
  <c r="X167" i="12"/>
  <c r="Z167" i="12" s="1"/>
  <c r="R167" i="12"/>
  <c r="L129" i="36"/>
  <c r="N129" i="36" s="1"/>
  <c r="F129" i="36"/>
  <c r="X119" i="67"/>
  <c r="Z119" i="67" s="1"/>
  <c r="R119" i="67"/>
  <c r="X98" i="88"/>
  <c r="Z98" i="88" s="1"/>
  <c r="R98" i="88"/>
  <c r="L43" i="86"/>
  <c r="N43" i="86" s="1"/>
  <c r="F43" i="8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<sst xmlns="http://schemas.openxmlformats.org/spreadsheetml/2006/main" count="2740" uniqueCount="316">
  <si>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</si>
  <si>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</si>
  <si>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</si>
  <si>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</si>
  <si>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</si>
  <si>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</si>
  <si>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</si>
  <si>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</si>
  <si>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</si>
  <si>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</si>
  <si>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</si>
  <si>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</si>
  <si>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</si>
  <si>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</si>
  <si>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</si>
  <si>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</si>
  <si>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</si>
  <si>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</si>
  <si>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</si>
  <si>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</si>
  <si>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</si>
  <si>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</si>
  <si>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</si>
  <si>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</si>
  <si>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</si>
  <si>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</si>
  <si>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</si>
  <si>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</si>
  <si>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</si>
  <si>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</si>
  <si>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</si>
  <si>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</si>
  <si>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</si>
  <si>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</si>
  <si>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</si>
  <si>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</si>
  <si>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</si>
  <si>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</si>
  <si>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</si>
  <si>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</si>
  <si>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</si>
  <si>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</si>
  <si>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</si>
  <si>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</si>
  <si>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</si>
  <si>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</si>
  <si>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</si>
  <si>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</si>
  <si>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</si>
  <si>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</si>
  <si>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</si>
  <si>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</si>
  <si>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</si>
  <si>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</si>
  <si>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</si>
  <si>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</si>
  <si>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</si>
  <si>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</si>
  <si>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</si>
  <si>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</si>
  <si>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</si>
  <si>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</si>
  <si>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</si>
  <si>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</si>
  <si>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</si>
  <si>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</si>
  <si>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</si>
  <si>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</si>
  <si>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</si>
  <si>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</si>
  <si>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</si>
  <si>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</si>
  <si>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</si>
  <si>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</si>
  <si>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</si>
  <si>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</si>
  <si>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</si>
  <si>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</si>
  <si>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</si>
  <si>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</si>
  <si>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</si>
  <si>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</si>
  <si>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</si>
  <si>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</si>
  <si>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</si>
  <si>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</si>
  <si>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</si>
  <si>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</si>
  <si>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</si>
  <si>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</si>
  <si>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</si>
  <si>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</si>
  <si>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</si>
  <si>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</si>
  <si>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</si>
  <si>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</si>
  <si>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</si>
  <si>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</si>
  <si>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</si>
  <si>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</si>
  <si>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</si>
  <si>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</si>
  <si>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</si>
  <si>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</si>
  <si>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</si>
  <si>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</si>
  <si>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</si>
  <si>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</si>
  <si>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</si>
  <si>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</si>
  <si>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</si>
  <si>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</si>
  <si>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</si>
  <si>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</si>
  <si>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</si>
  <si>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</si>
  <si>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</si>
  <si>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</si>
  <si>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</si>
  <si>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</si>
  <si>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</si>
  <si>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</si>
  <si>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</si>
  <si>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</si>
  <si>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</si>
  <si>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</si>
  <si>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</si>
  <si>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</si>
  <si>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</si>
  <si>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</si>
  <si>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</si>
  <si>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</si>
  <si>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</si>
  <si>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</si>
  <si>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</si>
  <si>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</si>
  <si>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</si>
  <si>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</si>
  <si>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</si>
  <si>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</si>
  <si>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</si>
  <si>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</si>
  <si>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</si>
  <si>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</si>
  <si>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</si>
  <si>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</si>
  <si>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</si>
  <si>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</si>
  <si>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</si>
  <si>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</si>
  <si>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</si>
  <si>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</si>
  <si>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</si>
  <si>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</si>
  <si>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</si>
  <si>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</si>
  <si>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</si>
  <si>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</si>
  <si>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</si>
  <si>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</si>
  <si>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</si>
  <si>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</si>
  <si>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</si>
  <si>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</si>
  <si>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</si>
  <si>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</si>
  <si>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</si>
  <si>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</si>
  <si>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</si>
  <si>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</si>
  <si>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</si>
  <si>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</si>
  <si>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</si>
  <si>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</si>
  <si>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</si>
  <si>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</si>
  <si>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</si>
  <si>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</si>
  <si>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</si>
  <si>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</si>
  <si>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</si>
  <si>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</si>
  <si>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</si>
  <si>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</si>
  <si>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</si>
  <si>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</si>
  <si>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</si>
  <si>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</si>
  <si>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</si>
  <si>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</si>
  <si>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</si>
  <si>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</si>
  <si>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</si>
  <si>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</si>
  <si>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</si>
  <si>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</si>
  <si>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</si>
  <si>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</si>
  <si>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</si>
  <si>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</si>
  <si>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</si>
  <si>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</si>
  <si>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</si>
  <si>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</si>
  <si>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</si>
  <si>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</si>
  <si>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</si>
  <si>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</si>
  <si>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</si>
  <si>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</si>
  <si>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</si>
  <si>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</si>
  <si>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</si>
  <si>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</si>
  <si>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</si>
  <si>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</si>
  <si>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</si>
  <si>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</si>
  <si>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</si>
  <si>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</si>
  <si>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</si>
  <si>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</si>
  <si>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</si>
  <si>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</si>
  <si>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</si>
  <si>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</si>
  <si>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</si>
  <si>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</si>
  <si>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</si>
  <si>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</si>
  <si>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</si>
  <si>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</si>
  <si>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</si>
  <si>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</si>
  <si>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</si>
  <si>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</si>
  <si>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</si>
  <si>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</si>
  <si>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</si>
  <si>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</si>
  <si>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</si>
  <si>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</si>
  <si>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</si>
  <si>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</si>
  <si>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</si>
  <si>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</si>
  <si>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</si>
  <si>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</si>
  <si>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</si>
  <si>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</si>
  <si>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</si>
  <si>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</si>
  <si>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</si>
  <si>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</si>
  <si>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</si>
  <si>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</si>
  <si>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</si>
  <si>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</si>
  <si>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</si>
  <si>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</si>
  <si>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</si>
  <si>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</si>
  <si>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</si>
  <si>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</si>
  <si>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</si>
  <si>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</si>
  <si>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</si>
  <si>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</si>
  <si>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</si>
  <si>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</si>
  <si>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</si>
  <si>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</si>
  <si>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</si>
  <si>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</si>
  <si>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</si>
  <si>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</si>
  <si>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</si>
  <si>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</si>
  <si>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</si>
  <si>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</si>
  <si>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</si>
  <si>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</si>
  <si>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</si>
  <si>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Budget</t>
  </si>
  <si>
    <t>% Budget Sales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</si>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</sst>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mmm\ d\,\ yyyy;@"/>
    <numFmt numFmtId="168" formatCode="[$-409]m/d/yy\ h:mm\ AM/PM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8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2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4" fontId="3" fillId="0" borderId="0" xfId="1" applyNumberFormat="1" applyFont="1" applyAlignment="1"/>
    <xf numFmtId="165" fontId="3" fillId="0" borderId="0" xfId="3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2" fillId="2" borderId="0" xfId="1" applyNumberFormat="1" applyFont="1" applyFill="1" applyAlignment="1"/>
    <xf numFmtId="0" fontId="0" fillId="0" borderId="0" xfId="0" applyNumberFormat="1" applyFont="1" applyAlignment="1">
      <alignment horizontal="left"/>
    </xf>
    <xf numFmtId="164" fontId="0" fillId="0" borderId="0" xfId="1" applyNumberFormat="1" applyFont="1" applyAlignment="1"/>
    <xf numFmtId="165" fontId="3" fillId="0" borderId="0" xfId="3" applyNumberFormat="1" applyFont="1" applyAlignment="1"/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165" fontId="2" fillId="2" borderId="2" xfId="3" applyNumberFormat="1" applyFont="1" applyFill="1" applyBorder="1" applyAlignment="1"/>
    <xf numFmtId="0" fontId="2" fillId="0" borderId="0" xfId="0" applyNumberFormat="1" applyFo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2" fillId="2" borderId="0" xfId="0" applyNumberFormat="1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166" fontId="2" fillId="2" borderId="3" xfId="2" applyNumberFormat="1" applyFont="1" applyFill="1" applyBorder="1" applyAlignment="1"/>
    <xf numFmtId="165" fontId="2" fillId="2" borderId="3" xfId="3" applyNumberFormat="1" applyFont="1" applyFill="1" applyBorder="1" applyAlignment="1"/>
    <xf numFmtId="49" fontId="2" fillId="0" borderId="0" xfId="0" applyNumberFormat="1" applyFont="1" applyAlignment="1">
      <alignment horizontal="center"/>
    </xf>
    <xf numFmtId="166" fontId="2" fillId="2" borderId="4" xfId="2" applyNumberFormat="1" applyFont="1" applyFill="1" applyBorder="1" applyAlignment="1"/>
    <xf numFmtId="165" fontId="2" fillId="0" borderId="0" xfId="3" applyNumberFormat="1" applyFont="1" applyAlignment="1"/>
    <xf numFmtId="165" fontId="2" fillId="2" borderId="4" xfId="3" applyNumberFormat="1" applyFont="1" applyFill="1" applyBorder="1" applyAlignment="1"/>
    <xf numFmtId="0" fontId="0" fillId="0" borderId="0" xfId="0" applyNumberFormat="1" applyFont="1"/>
    <xf numFmtId="165" fontId="2" fillId="2" borderId="1" xfId="3" applyNumberFormat="1" applyFont="1" applyFill="1" applyBorder="1" applyAlignment="1">
      <alignment horizontal="left"/>
    </xf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>
      <alignment horizontal="center" vertical="center" wrapText="1"/>
    </xf>
    <xf numFmtId="165" fontId="0" fillId="0" borderId="0" xfId="1" applyNumberFormat="1" applyFont="1" applyAlignment="1"/>
    <xf numFmtId="0" fontId="2" fillId="2" borderId="1" xfId="0" applyNumberFormat="1" applyFont="1" applyFill="1" applyBorder="1" applyAlignment="1">
      <alignment horizontal="center"/>
    </xf>
    <xf numFmtId="49" fontId="3" fillId="0" borderId="0" xfId="0" applyNumberFormat="1" applyFont="1"/>
    <xf numFmtId="165" fontId="2" fillId="2" borderId="1" xfId="0" applyNumberFormat="1" applyFont="1" applyFill="1" applyBorder="1" applyAlignment="1">
      <alignment horizontal="left"/>
    </xf>
    <xf numFmtId="165" fontId="0" fillId="0" borderId="0" xfId="3" applyNumberFormat="1" applyFont="1" applyAlignment="1">
      <alignment horizontal="left"/>
    </xf>
    <xf numFmtId="164" fontId="2" fillId="0" borderId="0" xfId="1" applyNumberFormat="1" applyFont="1" applyAlignment="1">
      <alignment horizontal="left"/>
    </xf>
    <xf numFmtId="165" fontId="0" fillId="0" borderId="0" xfId="0" applyNumberFormat="1" applyFont="1"/>
    <xf numFmtId="0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/>
    <xf numFmtId="0" fontId="4" fillId="0" borderId="0" xfId="0" applyNumberFormat="1" applyFont="1" applyAlignment="1">
      <alignment horizontal="left"/>
    </xf>
    <xf numFmtId="0" fontId="5" fillId="0" borderId="0" xfId="0" applyNumberFormat="1" applyFont="1"/>
    <xf numFmtId="0" fontId="2" fillId="0" borderId="0" xfId="0" applyNumberFormat="1" applyFont="1" applyAlignment="1">
      <alignment horizontal="left"/>
    </xf>
    <xf numFmtId="167" fontId="0" fillId="0" borderId="0" xfId="0" applyNumberFormat="1" applyFont="1"/>
    <xf numFmtId="0" fontId="0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8" fontId="4" fillId="0" borderId="0" xfId="0" applyNumberFormat="1" applyFont="1" applyAlignment="1">
      <alignment horizontal="left"/>
    </xf>
    <xf numFmtId="0" fontId="6" fillId="0" borderId="0" xfId="0" applyNumberFormat="1" applyFont="1"/>
    <xf numFmtId="164" fontId="2" fillId="0" borderId="0" xfId="1" applyNumberFormat="1" applyFont="1" applyAlignment="1">
      <alignment horizontal="left"/>
    </xf>
    <xf numFmtId="0" fontId="2" fillId="0" borderId="0" xfId="0" applyNumberFormat="1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D44E9-3065-5F14-0B83-83AA8C48ACD1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6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AE2C-BD18-11B6-5D29-86B6A23FABF7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300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0D20A-8D2C-5CE6-B5C4-E3124AA08D9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301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66FDF-C1F2-ED28-431E-DC3E8FF6BFF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301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8888A-96C3-9BFB-44C4-E19245E06F2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302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1B9AC-1449-2807-7533-1ED2D2AF299D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302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313F-0B39-DA4E-991F-59D887F62E0B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303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8ACBD-B767-CF9E-F41D-C277337B6BC2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303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2A3BE-0F89-FF69-F53D-775D9B2D278D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304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C594E-335B-18DD-678F-8620147FFE1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304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B6C86-54AC-9346-2D58-E28874C12DD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305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5D7B2-9BDA-8508-F9DF-84126C538333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6" customWidth="1"/>
    <col min="221" max="221" width="20.6640625" style="71" customWidth="1"/>
    <col min="222" max="223" width="20.6640625" style="66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2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9" t="s">
        <v>274</v>
      </c>
      <c r="JL10002" s="3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5333E-D1B7-389C-676E-612723C2FBB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306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FA043-DC93-0248-64E3-A83B42C8AF41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306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BAF7A-B20C-C614-D7A3-B376D308C22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307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0F1C3-EBF7-47B3-427C-418C016950B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307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EEE36-1DB2-228E-3CA2-E78179216CC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308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6D56A-CE5E-295E-10CD-FE5839F72FDC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308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5F071-7889-5D3E-BD0D-2756F74ADF7D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309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62F64-F0A4-E4E7-559D-F3A90D16E89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310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5B13E-F423-B389-FA56-8AD546A0862A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310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A8247-2101-C473-2689-D3EA08A18C5A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311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2AC3F-719C-3EB3-1405-FD30D60E2D05}">
  <sheetPr>
    <tabColor rgb="FF00B0F0"/>
    <outlinePr summaryBelow="0" summaryRight="0"/>
  </sheetPr>
  <dimension ref="A2:Z192"/>
  <sheetViews>
    <sheetView showGridLines="0" tabSelected="1" defaultGridColor="0" colorId="8" zoomScale="80" workbookViewId="0">
      <pane xSplit="3" ySplit="10" topLeftCell="D95" activePane="bottomRight" state="frozen"/>
      <selection pane="topRight" activeCell="D1" sqref="D1"/>
      <selection pane="bottomLeft" activeCell="A11" sqref="A11"/>
      <selection pane="bottomRight" activeCell="D167" sqref="D167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278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3345135.4600000004</v>
      </c>
      <c r="E12" s="5"/>
      <c r="F12" s="13"/>
      <c r="G12" s="5"/>
      <c r="H12" s="5">
        <f>SUM(OSRRefH13x_0)</f>
        <v>2160785</v>
      </c>
      <c r="I12" s="5"/>
      <c r="J12" s="13"/>
      <c r="K12" s="5"/>
      <c r="L12" s="5">
        <f t="shared" ref="L12:L25" si="0">+D12-H12</f>
        <v>1184350.4600000004</v>
      </c>
      <c r="M12" s="5"/>
      <c r="N12" s="13">
        <f t="shared" ref="N12:N25" si="1">IF(H12=0,0,L12/H12)</f>
        <v>0.54811120032765892</v>
      </c>
      <c r="O12" s="11"/>
      <c r="P12" s="5">
        <f>SUM(OSRRefP13x_0)</f>
        <v>21859777.779999997</v>
      </c>
      <c r="Q12" s="5"/>
      <c r="R12" s="13"/>
      <c r="S12" s="5"/>
      <c r="T12" s="5">
        <f>SUM(OSRRefT13x_0)</f>
        <v>21060217</v>
      </c>
      <c r="U12" s="5"/>
      <c r="V12" s="13"/>
      <c r="W12" s="5"/>
      <c r="X12" s="5">
        <f t="shared" ref="X12:X25" si="2">+P12-T12</f>
        <v>799560.77999999747</v>
      </c>
      <c r="Y12" s="5"/>
      <c r="Z12" s="13">
        <f t="shared" ref="Z12:Z25" si="3">IF(T12=0,0,X12/T12)</f>
        <v>3.7965457810809712E-2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--1263526.81</f>
        <v>1263526.81</v>
      </c>
      <c r="E13" s="3"/>
      <c r="F13" s="20"/>
      <c r="G13" s="3"/>
      <c r="H13" s="3">
        <v>682299</v>
      </c>
      <c r="I13" s="3"/>
      <c r="J13" s="20"/>
      <c r="K13" s="3"/>
      <c r="L13" s="3">
        <f t="shared" si="0"/>
        <v>581227.81000000006</v>
      </c>
      <c r="M13" s="3"/>
      <c r="N13" s="20">
        <f t="shared" si="1"/>
        <v>0.85186671825695193</v>
      </c>
      <c r="O13" s="12"/>
      <c r="P13" s="3">
        <f>--7731848.75</f>
        <v>7731848.75</v>
      </c>
      <c r="Q13" s="3"/>
      <c r="R13" s="20"/>
      <c r="S13" s="3"/>
      <c r="T13" s="3">
        <v>10350410</v>
      </c>
      <c r="U13" s="3"/>
      <c r="V13" s="20"/>
      <c r="W13" s="3"/>
      <c r="X13" s="3">
        <f t="shared" si="2"/>
        <v>-2618561.25</v>
      </c>
      <c r="Y13" s="3"/>
      <c r="Z13" s="20">
        <f t="shared" si="3"/>
        <v>-0.25299106508824287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--55113.37</f>
        <v>55113.37</v>
      </c>
      <c r="E14" s="3"/>
      <c r="F14" s="20"/>
      <c r="G14" s="3"/>
      <c r="H14" s="3"/>
      <c r="I14" s="3"/>
      <c r="J14" s="20"/>
      <c r="K14" s="3"/>
      <c r="L14" s="3">
        <f t="shared" si="0"/>
        <v>55113.37</v>
      </c>
      <c r="M14" s="3"/>
      <c r="N14" s="20">
        <f t="shared" si="1"/>
        <v>0</v>
      </c>
      <c r="O14" s="12"/>
      <c r="P14" s="3">
        <f>--318933.42</f>
        <v>318933.42</v>
      </c>
      <c r="Q14" s="3"/>
      <c r="R14" s="20"/>
      <c r="S14" s="3"/>
      <c r="T14" s="3"/>
      <c r="U14" s="3"/>
      <c r="V14" s="20"/>
      <c r="W14" s="3"/>
      <c r="X14" s="3">
        <f t="shared" si="2"/>
        <v>318933.42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--8523.96</f>
        <v>8523.9599999999991</v>
      </c>
      <c r="E15" s="3"/>
      <c r="F15" s="20"/>
      <c r="G15" s="3"/>
      <c r="H15" s="3"/>
      <c r="I15" s="3"/>
      <c r="J15" s="20"/>
      <c r="K15" s="3"/>
      <c r="L15" s="3">
        <f t="shared" si="0"/>
        <v>8523.9599999999991</v>
      </c>
      <c r="M15" s="3"/>
      <c r="N15" s="20">
        <f t="shared" si="1"/>
        <v>0</v>
      </c>
      <c r="O15" s="12"/>
      <c r="P15" s="3">
        <f>--30124.26</f>
        <v>30124.26</v>
      </c>
      <c r="Q15" s="3"/>
      <c r="R15" s="20"/>
      <c r="S15" s="3"/>
      <c r="T15" s="3"/>
      <c r="U15" s="3"/>
      <c r="V15" s="20"/>
      <c r="W15" s="3"/>
      <c r="X15" s="3">
        <f t="shared" si="2"/>
        <v>30124.26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--1014.83</f>
        <v>1014.83</v>
      </c>
      <c r="E16" s="3"/>
      <c r="F16" s="20"/>
      <c r="G16" s="3"/>
      <c r="H16" s="3"/>
      <c r="I16" s="3"/>
      <c r="J16" s="20"/>
      <c r="K16" s="3"/>
      <c r="L16" s="3">
        <f t="shared" si="0"/>
        <v>1014.83</v>
      </c>
      <c r="M16" s="3"/>
      <c r="N16" s="20">
        <f t="shared" si="1"/>
        <v>0</v>
      </c>
      <c r="O16" s="12"/>
      <c r="P16" s="3">
        <f>--1556.1</f>
        <v>1556.1</v>
      </c>
      <c r="Q16" s="3"/>
      <c r="R16" s="20"/>
      <c r="S16" s="3"/>
      <c r="T16" s="3"/>
      <c r="U16" s="3"/>
      <c r="V16" s="20"/>
      <c r="W16" s="3"/>
      <c r="X16" s="3">
        <f t="shared" si="2"/>
        <v>1556.1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","4100"," - ","NON-TAXABLE SALES")</f>
        <v xml:space="preserve">          4100 - NON-TAXABLE SALES</v>
      </c>
      <c r="C17" s="12"/>
      <c r="D17" s="3">
        <f>--324841.85</f>
        <v>324841.84999999998</v>
      </c>
      <c r="E17" s="3"/>
      <c r="F17" s="20"/>
      <c r="G17" s="3"/>
      <c r="H17" s="3">
        <v>1478486</v>
      </c>
      <c r="I17" s="3"/>
      <c r="J17" s="20"/>
      <c r="K17" s="3"/>
      <c r="L17" s="3">
        <f t="shared" si="0"/>
        <v>-1153644.1499999999</v>
      </c>
      <c r="M17" s="3"/>
      <c r="N17" s="20">
        <f t="shared" si="1"/>
        <v>-0.78028750356783894</v>
      </c>
      <c r="O17" s="12"/>
      <c r="P17" s="3">
        <f>--2632672.46</f>
        <v>2632672.46</v>
      </c>
      <c r="Q17" s="3"/>
      <c r="R17" s="20"/>
      <c r="S17" s="3"/>
      <c r="T17" s="3">
        <v>10709807</v>
      </c>
      <c r="U17" s="3"/>
      <c r="V17" s="20"/>
      <c r="W17" s="3"/>
      <c r="X17" s="3">
        <f t="shared" si="2"/>
        <v>-8077134.54</v>
      </c>
      <c r="Y17" s="3"/>
      <c r="Z17" s="20">
        <f t="shared" si="3"/>
        <v>-0.75418114817568604</v>
      </c>
    </row>
    <row r="18" spans="1:26" s="70" customFormat="1" ht="15" hidden="1" customHeight="1" outlineLevel="1" x14ac:dyDescent="0.3">
      <c r="A18" s="42"/>
      <c r="B18" s="12" t="str">
        <f>CONCATENATE("          ","4141"," - ","NON-TAXABLE SALES-LOGO GIFTS")</f>
        <v xml:space="preserve">          4141 - NON-TAXABLE SALES-LOGO GIFTS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","4146"," - ","NON-TAXABLE SALES-COIN OP MACH")</f>
        <v xml:space="preserve">          4146 - NON-TAXABLE SALES-COIN OP MACH</v>
      </c>
      <c r="C19" s="12"/>
      <c r="D19" s="3">
        <f>0</f>
        <v>0</v>
      </c>
      <c r="E19" s="3"/>
      <c r="F19" s="20"/>
      <c r="G19" s="3"/>
      <c r="H19" s="3"/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/>
      <c r="U19" s="3"/>
      <c r="V19" s="20"/>
      <c r="W19" s="3"/>
      <c r="X19" s="3">
        <f t="shared" si="2"/>
        <v>0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","4151"," - ","NON-TAXABLE SALES-FOOD")</f>
        <v xml:space="preserve">          4151 - NON-TAXABLE SALES-FOOD</v>
      </c>
      <c r="C20" s="12"/>
      <c r="D20" s="3">
        <f>--1941274.31</f>
        <v>1941274.31</v>
      </c>
      <c r="E20" s="3"/>
      <c r="F20" s="20"/>
      <c r="G20" s="3"/>
      <c r="H20" s="3"/>
      <c r="I20" s="3"/>
      <c r="J20" s="20"/>
      <c r="K20" s="3"/>
      <c r="L20" s="3">
        <f t="shared" si="0"/>
        <v>1941274.31</v>
      </c>
      <c r="M20" s="3"/>
      <c r="N20" s="20">
        <f t="shared" si="1"/>
        <v>0</v>
      </c>
      <c r="O20" s="12"/>
      <c r="P20" s="3">
        <f>--11851903.03</f>
        <v>11851903.029999999</v>
      </c>
      <c r="Q20" s="3"/>
      <c r="R20" s="20"/>
      <c r="S20" s="3"/>
      <c r="T20" s="3"/>
      <c r="U20" s="3"/>
      <c r="V20" s="20"/>
      <c r="W20" s="3"/>
      <c r="X20" s="3">
        <f t="shared" si="2"/>
        <v>11851903.029999999</v>
      </c>
      <c r="Y20" s="3"/>
      <c r="Z20" s="20">
        <f t="shared" si="3"/>
        <v>0</v>
      </c>
    </row>
    <row r="21" spans="1:26" s="70" customFormat="1" ht="15" hidden="1" customHeight="1" outlineLevel="1" x14ac:dyDescent="0.3">
      <c r="A21" s="42"/>
      <c r="B21" s="12" t="str">
        <f>CONCATENATE("          ","4153"," - ","NON-TAXABLE SALES-FOOD")</f>
        <v xml:space="preserve">          4153 - NON-TAXABLE SALES-FOOD</v>
      </c>
      <c r="C21" s="12"/>
      <c r="D21" s="3">
        <f>--15546.35</f>
        <v>15546.35</v>
      </c>
      <c r="E21" s="3"/>
      <c r="F21" s="20"/>
      <c r="G21" s="3"/>
      <c r="H21" s="3"/>
      <c r="I21" s="3"/>
      <c r="J21" s="20"/>
      <c r="K21" s="3"/>
      <c r="L21" s="3">
        <f t="shared" si="0"/>
        <v>15546.35</v>
      </c>
      <c r="M21" s="3"/>
      <c r="N21" s="20">
        <f t="shared" si="1"/>
        <v>0</v>
      </c>
      <c r="O21" s="12"/>
      <c r="P21" s="3">
        <f>--112046.57</f>
        <v>112046.57</v>
      </c>
      <c r="Q21" s="3"/>
      <c r="R21" s="20"/>
      <c r="S21" s="3"/>
      <c r="T21" s="3"/>
      <c r="U21" s="3"/>
      <c r="V21" s="20"/>
      <c r="W21" s="3"/>
      <c r="X21" s="3">
        <f t="shared" si="2"/>
        <v>112046.57</v>
      </c>
      <c r="Y21" s="3"/>
      <c r="Z21" s="20">
        <f t="shared" si="3"/>
        <v>0</v>
      </c>
    </row>
    <row r="22" spans="1:26" s="70" customFormat="1" ht="15" hidden="1" customHeight="1" outlineLevel="1" x14ac:dyDescent="0.3">
      <c r="A22" s="42"/>
      <c r="B22" s="12" t="str">
        <f>CONCATENATE("          ","4155"," - ","NON-TAXABLE SALES-FOOD")</f>
        <v xml:space="preserve">          4155 - NON-TAXABLE SALES-FOOD</v>
      </c>
      <c r="C22" s="12"/>
      <c r="D22" s="3">
        <f>--2054.61</f>
        <v>2054.61</v>
      </c>
      <c r="E22" s="3"/>
      <c r="F22" s="20"/>
      <c r="G22" s="3"/>
      <c r="H22" s="3"/>
      <c r="I22" s="3"/>
      <c r="J22" s="20"/>
      <c r="K22" s="3"/>
      <c r="L22" s="3">
        <f t="shared" si="0"/>
        <v>2054.61</v>
      </c>
      <c r="M22" s="3"/>
      <c r="N22" s="20">
        <f t="shared" si="1"/>
        <v>0</v>
      </c>
      <c r="O22" s="12"/>
      <c r="P22" s="3">
        <f>--3799.32</f>
        <v>3799.32</v>
      </c>
      <c r="Q22" s="3"/>
      <c r="R22" s="20"/>
      <c r="S22" s="3"/>
      <c r="T22" s="3"/>
      <c r="U22" s="3"/>
      <c r="V22" s="20"/>
      <c r="W22" s="3"/>
      <c r="X22" s="3">
        <f t="shared" si="2"/>
        <v>3799.32</v>
      </c>
      <c r="Y22" s="3"/>
      <c r="Z22" s="20">
        <f t="shared" si="3"/>
        <v>0</v>
      </c>
    </row>
    <row r="23" spans="1:26" s="70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-241952.39</f>
        <v>-241952.39</v>
      </c>
      <c r="E23" s="3"/>
      <c r="F23" s="20"/>
      <c r="G23" s="3"/>
      <c r="H23" s="3"/>
      <c r="I23" s="3"/>
      <c r="J23" s="20"/>
      <c r="K23" s="3"/>
      <c r="L23" s="3">
        <f t="shared" si="0"/>
        <v>-241952.39</v>
      </c>
      <c r="M23" s="3"/>
      <c r="N23" s="20">
        <f t="shared" si="1"/>
        <v>0</v>
      </c>
      <c r="O23" s="12"/>
      <c r="P23" s="3">
        <f>-672870.61</f>
        <v>-672870.61</v>
      </c>
      <c r="Q23" s="3"/>
      <c r="R23" s="20"/>
      <c r="S23" s="3"/>
      <c r="T23" s="3"/>
      <c r="U23" s="3"/>
      <c r="V23" s="20"/>
      <c r="W23" s="3"/>
      <c r="X23" s="3">
        <f t="shared" si="2"/>
        <v>-672870.61</v>
      </c>
      <c r="Y23" s="3"/>
      <c r="Z23" s="20">
        <f t="shared" si="3"/>
        <v>0</v>
      </c>
    </row>
    <row r="24" spans="1:26" s="70" customFormat="1" ht="15" hidden="1" customHeight="1" outlineLevel="1" x14ac:dyDescent="0.3">
      <c r="A24" s="42"/>
      <c r="B24" s="12" t="str">
        <f>CONCATENATE("          ","4300"," - ","NON-TAX RETURNS")</f>
        <v xml:space="preserve">          4300 - NON-TAX RETURNS</v>
      </c>
      <c r="C24" s="12"/>
      <c r="D24" s="3">
        <f>-9969.65</f>
        <v>-9969.65</v>
      </c>
      <c r="E24" s="3"/>
      <c r="F24" s="20"/>
      <c r="G24" s="3"/>
      <c r="H24" s="3"/>
      <c r="I24" s="3"/>
      <c r="J24" s="20"/>
      <c r="K24" s="3"/>
      <c r="L24" s="3">
        <f t="shared" si="0"/>
        <v>-9969.65</v>
      </c>
      <c r="M24" s="3"/>
      <c r="N24" s="20">
        <f t="shared" si="1"/>
        <v>0</v>
      </c>
      <c r="O24" s="12"/>
      <c r="P24" s="3">
        <f>-42331.37</f>
        <v>-42331.37</v>
      </c>
      <c r="Q24" s="3"/>
      <c r="R24" s="20"/>
      <c r="S24" s="3"/>
      <c r="T24" s="3"/>
      <c r="U24" s="3"/>
      <c r="V24" s="20"/>
      <c r="W24" s="3"/>
      <c r="X24" s="3">
        <f t="shared" si="2"/>
        <v>-42331.37</v>
      </c>
      <c r="Y24" s="3"/>
      <c r="Z24" s="20">
        <f t="shared" si="3"/>
        <v>0</v>
      </c>
    </row>
    <row r="25" spans="1:26" s="70" customFormat="1" ht="15" hidden="1" customHeight="1" outlineLevel="1" x14ac:dyDescent="0.3">
      <c r="A25" s="42"/>
      <c r="B25" s="12" t="str">
        <f>CONCATENATE("          ","4500"," - ","SALES DISCOUNT")</f>
        <v xml:space="preserve">          4500 - SALES DISCOUNT</v>
      </c>
      <c r="C25" s="12"/>
      <c r="D25" s="3">
        <f>-14838.59</f>
        <v>-14838.59</v>
      </c>
      <c r="E25" s="3"/>
      <c r="F25" s="20"/>
      <c r="G25" s="3"/>
      <c r="H25" s="3"/>
      <c r="I25" s="3"/>
      <c r="J25" s="20"/>
      <c r="K25" s="3"/>
      <c r="L25" s="3">
        <f t="shared" si="0"/>
        <v>-14838.59</v>
      </c>
      <c r="M25" s="3"/>
      <c r="N25" s="20">
        <f t="shared" si="1"/>
        <v>0</v>
      </c>
      <c r="O25" s="12"/>
      <c r="P25" s="3">
        <f>-107904.15</f>
        <v>-107904.15</v>
      </c>
      <c r="Q25" s="3"/>
      <c r="R25" s="20"/>
      <c r="S25" s="3"/>
      <c r="T25" s="3"/>
      <c r="U25" s="3"/>
      <c r="V25" s="20"/>
      <c r="W25" s="3"/>
      <c r="X25" s="3">
        <f t="shared" si="2"/>
        <v>-107904.15</v>
      </c>
      <c r="Y25" s="3"/>
      <c r="Z25" s="20">
        <f t="shared" si="3"/>
        <v>0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collapsed="1" x14ac:dyDescent="0.3">
      <c r="A27" s="11"/>
      <c r="B27" s="28" t="s">
        <v>288</v>
      </c>
      <c r="C27" s="11"/>
      <c r="D27" s="5">
        <f>SUM(OSRRefD16x_0)</f>
        <v>1162184.9900000002</v>
      </c>
      <c r="E27" s="5"/>
      <c r="F27" s="13">
        <f t="shared" ref="F27:F62" si="4">IF(D$12=0,0,D27/D$12)</f>
        <v>0.34742538946389934</v>
      </c>
      <c r="G27" s="5"/>
      <c r="H27" s="5">
        <f>SUM(OSRRefH16x_0)</f>
        <v>807534</v>
      </c>
      <c r="I27" s="5"/>
      <c r="J27" s="13">
        <f t="shared" ref="J27:J62" si="5">IF(H$12=0,0,H27/H$12)</f>
        <v>0.37372251288304947</v>
      </c>
      <c r="K27" s="5"/>
      <c r="L27" s="5">
        <f t="shared" ref="L27:L62" si="6">+D27-H27</f>
        <v>354650.99000000022</v>
      </c>
      <c r="M27" s="5"/>
      <c r="N27" s="13">
        <f t="shared" ref="N27:N62" si="7">IF(H27=0,0,L27/H27)</f>
        <v>0.43917778074978914</v>
      </c>
      <c r="O27" s="11"/>
      <c r="P27" s="5">
        <f>SUM(OSRRefP16x_0)</f>
        <v>8759819.3199999984</v>
      </c>
      <c r="Q27" s="5"/>
      <c r="R27" s="13">
        <f t="shared" ref="R27:R62" si="8">IF(P$12=0,0,P27/P$12)</f>
        <v>0.40072773877941953</v>
      </c>
      <c r="S27" s="5"/>
      <c r="T27" s="5">
        <f>SUM(OSRRefT16x_0)</f>
        <v>9762666</v>
      </c>
      <c r="U27" s="5"/>
      <c r="V27" s="13">
        <f t="shared" ref="V27:V62" si="9">IF(T$12=0,0,T27/T$12)</f>
        <v>0.46355961099546128</v>
      </c>
      <c r="W27" s="5"/>
      <c r="X27" s="5">
        <f t="shared" ref="X27:X62" si="10">+P27-T27</f>
        <v>-1002846.6800000016</v>
      </c>
      <c r="Y27" s="5"/>
      <c r="Z27" s="13">
        <f t="shared" ref="Z27:Z62" si="11">IF(T27=0,0,X27/T27)</f>
        <v>-0.10272262515177735</v>
      </c>
    </row>
    <row r="28" spans="1:26" s="70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362482.26</v>
      </c>
      <c r="E28" s="3"/>
      <c r="F28" s="20">
        <f t="shared" si="4"/>
        <v>0.10836101088713458</v>
      </c>
      <c r="G28" s="3"/>
      <c r="H28" s="3">
        <v>807534</v>
      </c>
      <c r="I28" s="3"/>
      <c r="J28" s="20">
        <f t="shared" si="5"/>
        <v>0.37372251288304947</v>
      </c>
      <c r="K28" s="3"/>
      <c r="L28" s="3">
        <f t="shared" si="6"/>
        <v>-445051.74</v>
      </c>
      <c r="M28" s="3"/>
      <c r="N28" s="20">
        <f t="shared" si="7"/>
        <v>-0.55112446039423724</v>
      </c>
      <c r="O28" s="12"/>
      <c r="P28" s="3">
        <v>5434085.29</v>
      </c>
      <c r="Q28" s="3"/>
      <c r="R28" s="20">
        <f t="shared" si="8"/>
        <v>0.24858831341697202</v>
      </c>
      <c r="S28" s="3"/>
      <c r="T28" s="3">
        <v>9762666</v>
      </c>
      <c r="U28" s="3"/>
      <c r="V28" s="20">
        <f t="shared" si="9"/>
        <v>0.46355961099546128</v>
      </c>
      <c r="W28" s="3"/>
      <c r="X28" s="3">
        <f t="shared" si="10"/>
        <v>-4328580.71</v>
      </c>
      <c r="Y28" s="3"/>
      <c r="Z28" s="20">
        <f t="shared" si="11"/>
        <v>-0.44338100985939699</v>
      </c>
    </row>
    <row r="29" spans="1:26" s="70" customFormat="1" ht="15" hidden="1" customHeight="1" outlineLevel="1" x14ac:dyDescent="0.3">
      <c r="A29" s="42"/>
      <c r="B29" s="12" t="str">
        <f>CONCATENATE("          ","5001"," - ","PURCHASES @ COST-NEW TEXT")</f>
        <v xml:space="preserve">          5001 - PURCHASES @ COST-NEW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","5002"," - ","PURCHASES @ COST-USED TEXT")</f>
        <v xml:space="preserve">          5002 - PURCHASES @ COST-USED TEXT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","5004"," - ","PURCHASES @ COST-DIGITAL TEXT")</f>
        <v xml:space="preserve">          5004 - PURCHASES @ COST-DIGITAL TEXT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","5026"," - ","PURCHASES @ COST-WRITING INSTR")</f>
        <v xml:space="preserve">          5026 - PURCHASES @ COST-WRITING INSTR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","5027"," - ","PURCHASES @ COST-SCHOOL SUPPLI")</f>
        <v xml:space="preserve">          5027 - PURCHASES @ COST-SCHOOL SUPPLI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","5028"," - ","PURCHASES @ COST-ART/TECH")</f>
        <v xml:space="preserve">          5028 - PURCHASES @ COST-ART/TECH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","5031"," - ","PURCHASES @ COST-FOOD")</f>
        <v xml:space="preserve">          5031 - PURCHASES @ COST-FOOD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","5040"," - ","PURCHASES @ COST-LOGO CLOTHING")</f>
        <v xml:space="preserve">          5040 - PURCHASES @ COST-LOGO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","5041"," - ","PURCHASES @ COST-LOGO GIFTS")</f>
        <v xml:space="preserve">          5041 - PURCHASES @ COST-LOGO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","5042"," - ","PURCHASES @ COST-EVERYDAY GIFT")</f>
        <v xml:space="preserve">          5042 - PURCHASES @ COST-EVERYDAY GIFT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","5043"," - ","PURCHASES @ COST-CARDS")</f>
        <v xml:space="preserve">          5043 - PURCHASES @ COST-CARDS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","5044"," - ","PURCHASES @ COST-ACCESSORIES")</f>
        <v xml:space="preserve">          5044 - PURCHASES @ COST-ACCESSORIES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","5045"," - ","PURCHASES @ COST-SPECIAL ORDER")</f>
        <v xml:space="preserve">          5045 - PURCHASES @ COST-SPECIAL ORDER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","5053"," - ","PURCHASES @ COST-FOOD")</f>
        <v xml:space="preserve">          5053 - PURCHASES @ COST-FOOD</v>
      </c>
      <c r="C42" s="12"/>
      <c r="D42" s="3">
        <v>423768.13</v>
      </c>
      <c r="E42" s="3"/>
      <c r="F42" s="20">
        <f t="shared" si="4"/>
        <v>0.12668190423594983</v>
      </c>
      <c r="G42" s="3"/>
      <c r="H42" s="3"/>
      <c r="I42" s="3"/>
      <c r="J42" s="20">
        <f t="shared" si="5"/>
        <v>0</v>
      </c>
      <c r="K42" s="3"/>
      <c r="L42" s="3">
        <f t="shared" si="6"/>
        <v>423768.13</v>
      </c>
      <c r="M42" s="3"/>
      <c r="N42" s="20">
        <f t="shared" si="7"/>
        <v>0</v>
      </c>
      <c r="O42" s="12"/>
      <c r="P42" s="3">
        <v>3106469.82</v>
      </c>
      <c r="Q42" s="3"/>
      <c r="R42" s="20">
        <f t="shared" si="8"/>
        <v>0.14210893867558796</v>
      </c>
      <c r="S42" s="3"/>
      <c r="T42" s="3"/>
      <c r="U42" s="3"/>
      <c r="V42" s="20">
        <f t="shared" si="9"/>
        <v>0</v>
      </c>
      <c r="W42" s="3"/>
      <c r="X42" s="3">
        <f t="shared" si="10"/>
        <v>3106469.82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","5059"," - ","PURCHASES @ COST-FOOD")</f>
        <v xml:space="preserve">          5059 - PURCHASES @ COST-FOOD</v>
      </c>
      <c r="C43" s="12"/>
      <c r="D43" s="3">
        <v>69307.149999999994</v>
      </c>
      <c r="E43" s="3"/>
      <c r="F43" s="20">
        <f t="shared" si="4"/>
        <v>2.0718787274462119E-2</v>
      </c>
      <c r="G43" s="3"/>
      <c r="H43" s="3"/>
      <c r="I43" s="3"/>
      <c r="J43" s="20">
        <f t="shared" si="5"/>
        <v>0</v>
      </c>
      <c r="K43" s="3"/>
      <c r="L43" s="3">
        <f t="shared" si="6"/>
        <v>69307.149999999994</v>
      </c>
      <c r="M43" s="3"/>
      <c r="N43" s="20">
        <f t="shared" si="7"/>
        <v>0</v>
      </c>
      <c r="O43" s="12"/>
      <c r="P43" s="3">
        <v>193498.12</v>
      </c>
      <c r="Q43" s="3"/>
      <c r="R43" s="20">
        <f t="shared" si="8"/>
        <v>8.8517880624127739E-3</v>
      </c>
      <c r="S43" s="3"/>
      <c r="T43" s="3"/>
      <c r="U43" s="3"/>
      <c r="V43" s="20">
        <f t="shared" si="9"/>
        <v>0</v>
      </c>
      <c r="W43" s="3"/>
      <c r="X43" s="3">
        <f t="shared" si="10"/>
        <v>193498.12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","5081"," - ","PURCHASES @ COST-ELECTRONICS")</f>
        <v xml:space="preserve">          5081 - PURCHASES @ COST-ELECTRONICS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","5082"," - ","PURCHASES @ COST-COMPUTER HARD")</f>
        <v xml:space="preserve">          5082 - PURCHASES @ COST-COMPUTER HARD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-110193.26</v>
      </c>
      <c r="Q45" s="3"/>
      <c r="R45" s="20">
        <f t="shared" si="8"/>
        <v>-5.0409140069492516E-3</v>
      </c>
      <c r="S45" s="3"/>
      <c r="T45" s="3"/>
      <c r="U45" s="3"/>
      <c r="V45" s="20">
        <f t="shared" si="9"/>
        <v>0</v>
      </c>
      <c r="W45" s="3"/>
      <c r="X45" s="3">
        <f t="shared" si="10"/>
        <v>-110193.26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","5083"," - ","PURCHASES @ COST-COMPUTER EQUI")</f>
        <v xml:space="preserve">          5083 - PURCHASES @ COST-COMPUTER EQUI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","5085"," - ","PURCHASES @ COST-SOFTWARE")</f>
        <v xml:space="preserve">          5085 - PURCHASES @ COST-SOFTWARE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","5086"," - ","PURCHASES @ COST-COMPUTER SUPP")</f>
        <v xml:space="preserve">          5086 - PURCHASES @ COST-COMPUTER SUPP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","5200"," - ","PURCHASES OFFSET")</f>
        <v xml:space="preserve">          5200 - PURCHASES OFFSET</v>
      </c>
      <c r="C49" s="12"/>
      <c r="D49" s="3">
        <v>-422991.04</v>
      </c>
      <c r="E49" s="3"/>
      <c r="F49" s="20">
        <f t="shared" si="4"/>
        <v>-0.12644959974206843</v>
      </c>
      <c r="G49" s="3"/>
      <c r="H49" s="3"/>
      <c r="I49" s="3"/>
      <c r="J49" s="20">
        <f t="shared" si="5"/>
        <v>0</v>
      </c>
      <c r="K49" s="3"/>
      <c r="L49" s="3">
        <f t="shared" si="6"/>
        <v>-422991.04</v>
      </c>
      <c r="M49" s="3"/>
      <c r="N49" s="20">
        <f t="shared" si="7"/>
        <v>0</v>
      </c>
      <c r="O49" s="12"/>
      <c r="P49" s="3">
        <v>-5326326.78</v>
      </c>
      <c r="Q49" s="3"/>
      <c r="R49" s="20">
        <f t="shared" si="8"/>
        <v>-0.24365877977374392</v>
      </c>
      <c r="S49" s="3"/>
      <c r="T49" s="3"/>
      <c r="U49" s="3"/>
      <c r="V49" s="20">
        <f t="shared" si="9"/>
        <v>0</v>
      </c>
      <c r="W49" s="3"/>
      <c r="X49" s="3">
        <f t="shared" si="10"/>
        <v>-5326326.78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","5300"," - ","COG$ OFFSET")</f>
        <v xml:space="preserve">          5300 - COG$ OFFSET</v>
      </c>
      <c r="C50" s="12"/>
      <c r="D50" s="3">
        <v>694429.14</v>
      </c>
      <c r="E50" s="3"/>
      <c r="F50" s="20">
        <f t="shared" si="4"/>
        <v>0.20759372775893503</v>
      </c>
      <c r="G50" s="3"/>
      <c r="H50" s="3"/>
      <c r="I50" s="3"/>
      <c r="J50" s="20">
        <f t="shared" si="5"/>
        <v>0</v>
      </c>
      <c r="K50" s="3"/>
      <c r="L50" s="3">
        <f t="shared" si="6"/>
        <v>694429.14</v>
      </c>
      <c r="M50" s="3"/>
      <c r="N50" s="20">
        <f t="shared" si="7"/>
        <v>0</v>
      </c>
      <c r="O50" s="12"/>
      <c r="P50" s="3">
        <v>5278808.82</v>
      </c>
      <c r="Q50" s="3"/>
      <c r="R50" s="20">
        <f t="shared" si="8"/>
        <v>0.24148501751146351</v>
      </c>
      <c r="S50" s="3"/>
      <c r="T50" s="3"/>
      <c r="U50" s="3"/>
      <c r="V50" s="20">
        <f t="shared" si="9"/>
        <v>0</v>
      </c>
      <c r="W50" s="3"/>
      <c r="X50" s="3">
        <f t="shared" si="10"/>
        <v>5278808.82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","5500"," - ","FREIGHT-IN")</f>
        <v xml:space="preserve">          5500 - FREIGHT-IN</v>
      </c>
      <c r="C51" s="12"/>
      <c r="D51" s="3">
        <v>35189.35</v>
      </c>
      <c r="E51" s="3"/>
      <c r="F51" s="20">
        <f t="shared" si="4"/>
        <v>1.0519559049486144E-2</v>
      </c>
      <c r="G51" s="3"/>
      <c r="H51" s="3"/>
      <c r="I51" s="3"/>
      <c r="J51" s="20">
        <f t="shared" si="5"/>
        <v>0</v>
      </c>
      <c r="K51" s="3"/>
      <c r="L51" s="3">
        <f t="shared" si="6"/>
        <v>35189.35</v>
      </c>
      <c r="M51" s="3"/>
      <c r="N51" s="20">
        <f t="shared" si="7"/>
        <v>0</v>
      </c>
      <c r="O51" s="12"/>
      <c r="P51" s="3">
        <v>183477.31</v>
      </c>
      <c r="Q51" s="3"/>
      <c r="R51" s="20">
        <f t="shared" si="8"/>
        <v>8.3933748936765272E-3</v>
      </c>
      <c r="S51" s="3"/>
      <c r="T51" s="3"/>
      <c r="U51" s="3"/>
      <c r="V51" s="20">
        <f t="shared" si="9"/>
        <v>0</v>
      </c>
      <c r="W51" s="3"/>
      <c r="X51" s="3">
        <f t="shared" si="10"/>
        <v>183477.31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","5501"," - ","FREIGHT-IN-NEW TEXT")</f>
        <v xml:space="preserve">          5501 - FREIGHT-IN-NEW TEXT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","5502"," - ","FREIGHT-IN-USED TEXT")</f>
        <v xml:space="preserve">          5502 - FREIGHT-IN-USED TEXT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","5518"," - ","FREIGHT-IN-STUDY GUIDES")</f>
        <v xml:space="preserve">          5518 - FREIGHT-IN-STUDY GUIDES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s="70" customFormat="1" ht="15" hidden="1" customHeight="1" outlineLevel="1" x14ac:dyDescent="0.3">
      <c r="A55" s="42"/>
      <c r="B55" s="12" t="str">
        <f>CONCATENATE("          ","5527"," - ","FREIGHT-IN-SCHOOL SUPPLIES")</f>
        <v xml:space="preserve">          5527 - FREIGHT-IN-SCHOOL SUPPLIES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>
        <v>0</v>
      </c>
      <c r="Q55" s="3"/>
      <c r="R55" s="20">
        <f t="shared" si="8"/>
        <v>0</v>
      </c>
      <c r="S55" s="3"/>
      <c r="T55" s="3"/>
      <c r="U55" s="3"/>
      <c r="V55" s="20">
        <f t="shared" si="9"/>
        <v>0</v>
      </c>
      <c r="W55" s="3"/>
      <c r="X55" s="3">
        <f t="shared" si="10"/>
        <v>0</v>
      </c>
      <c r="Y55" s="3"/>
      <c r="Z55" s="20">
        <f t="shared" si="11"/>
        <v>0</v>
      </c>
    </row>
    <row r="56" spans="1:26" s="70" customFormat="1" ht="15" hidden="1" customHeight="1" outlineLevel="1" x14ac:dyDescent="0.3">
      <c r="A56" s="42"/>
      <c r="B56" s="12" t="str">
        <f>CONCATENATE("          ","5528"," - ","FREIGHT-IN-ART/TECH")</f>
        <v xml:space="preserve">          5528 - FREIGHT-IN-ART/TECH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>
        <v>0</v>
      </c>
      <c r="Q56" s="3"/>
      <c r="R56" s="20">
        <f t="shared" si="8"/>
        <v>0</v>
      </c>
      <c r="S56" s="3"/>
      <c r="T56" s="3"/>
      <c r="U56" s="3"/>
      <c r="V56" s="20">
        <f t="shared" si="9"/>
        <v>0</v>
      </c>
      <c r="W56" s="3"/>
      <c r="X56" s="3">
        <f t="shared" si="10"/>
        <v>0</v>
      </c>
      <c r="Y56" s="3"/>
      <c r="Z56" s="20">
        <f t="shared" si="11"/>
        <v>0</v>
      </c>
    </row>
    <row r="57" spans="1:26" s="70" customFormat="1" ht="15" hidden="1" customHeight="1" outlineLevel="1" x14ac:dyDescent="0.3">
      <c r="A57" s="42"/>
      <c r="B57" s="12" t="str">
        <f>CONCATENATE("          ","5540"," - ","FREIGHT-IN-LOGO CLOTHING")</f>
        <v xml:space="preserve">          5540 - FREIGHT-IN-LOGO CLOTHING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s="70" customFormat="1" ht="15" hidden="1" customHeight="1" outlineLevel="1" x14ac:dyDescent="0.3">
      <c r="A58" s="42"/>
      <c r="B58" s="12" t="str">
        <f>CONCATENATE("          ","5541"," - ","FREIGHT-IN-LOGO GIFTS")</f>
        <v xml:space="preserve">          5541 - FREIGHT-IN-LOGO GIFTS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>
        <v>0</v>
      </c>
      <c r="Q58" s="3"/>
      <c r="R58" s="20">
        <f t="shared" si="8"/>
        <v>0</v>
      </c>
      <c r="S58" s="3"/>
      <c r="T58" s="3"/>
      <c r="U58" s="3"/>
      <c r="V58" s="20">
        <f t="shared" si="9"/>
        <v>0</v>
      </c>
      <c r="W58" s="3"/>
      <c r="X58" s="3">
        <f t="shared" si="10"/>
        <v>0</v>
      </c>
      <c r="Y58" s="3"/>
      <c r="Z58" s="20">
        <f t="shared" si="11"/>
        <v>0</v>
      </c>
    </row>
    <row r="59" spans="1:26" s="70" customFormat="1" ht="15" hidden="1" customHeight="1" outlineLevel="1" x14ac:dyDescent="0.3">
      <c r="A59" s="42"/>
      <c r="B59" s="12" t="str">
        <f>CONCATENATE("          ","5542"," - ","FREIGHT-IN-EVERYDAY GIFTS")</f>
        <v xml:space="preserve">          5542 - FREIGHT-IN-EVERYDAY GIFTS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>
        <v>0</v>
      </c>
      <c r="Q59" s="3"/>
      <c r="R59" s="20">
        <f t="shared" si="8"/>
        <v>0</v>
      </c>
      <c r="S59" s="3"/>
      <c r="T59" s="3"/>
      <c r="U59" s="3"/>
      <c r="V59" s="20">
        <f t="shared" si="9"/>
        <v>0</v>
      </c>
      <c r="W59" s="3"/>
      <c r="X59" s="3">
        <f t="shared" si="10"/>
        <v>0</v>
      </c>
      <c r="Y59" s="3"/>
      <c r="Z59" s="20">
        <f t="shared" si="11"/>
        <v>0</v>
      </c>
    </row>
    <row r="60" spans="1:26" s="70" customFormat="1" ht="15" hidden="1" customHeight="1" outlineLevel="1" x14ac:dyDescent="0.3">
      <c r="A60" s="42"/>
      <c r="B60" s="12" t="str">
        <f>CONCATENATE("          ","5544"," - ","FREIGHT-IN-ACCESSORIES")</f>
        <v xml:space="preserve">          5544 - FREIGHT-IN-ACCESSORIES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>
        <v>0</v>
      </c>
      <c r="Q60" s="3"/>
      <c r="R60" s="20">
        <f t="shared" si="8"/>
        <v>0</v>
      </c>
      <c r="S60" s="3"/>
      <c r="T60" s="3"/>
      <c r="U60" s="3"/>
      <c r="V60" s="20">
        <f t="shared" si="9"/>
        <v>0</v>
      </c>
      <c r="W60" s="3"/>
      <c r="X60" s="3">
        <f t="shared" si="10"/>
        <v>0</v>
      </c>
      <c r="Y60" s="3"/>
      <c r="Z60" s="20">
        <f t="shared" si="11"/>
        <v>0</v>
      </c>
    </row>
    <row r="61" spans="1:26" s="70" customFormat="1" ht="15" hidden="1" customHeight="1" outlineLevel="1" x14ac:dyDescent="0.3">
      <c r="A61" s="42"/>
      <c r="B61" s="12" t="str">
        <f>CONCATENATE("          ","5545"," - ","FREIGHT-IN-SPECIAL ORDERS")</f>
        <v xml:space="preserve">          5545 - FREIGHT-IN-SPECIAL ORDERS</v>
      </c>
      <c r="C61" s="12"/>
      <c r="D61" s="3"/>
      <c r="E61" s="3"/>
      <c r="F61" s="20">
        <f t="shared" si="4"/>
        <v>0</v>
      </c>
      <c r="G61" s="3"/>
      <c r="H61" s="3"/>
      <c r="I61" s="3"/>
      <c r="J61" s="20">
        <f t="shared" si="5"/>
        <v>0</v>
      </c>
      <c r="K61" s="3"/>
      <c r="L61" s="3">
        <f t="shared" si="6"/>
        <v>0</v>
      </c>
      <c r="M61" s="3"/>
      <c r="N61" s="20">
        <f t="shared" si="7"/>
        <v>0</v>
      </c>
      <c r="O61" s="12"/>
      <c r="P61" s="3">
        <v>0</v>
      </c>
      <c r="Q61" s="3"/>
      <c r="R61" s="20">
        <f t="shared" si="8"/>
        <v>0</v>
      </c>
      <c r="S61" s="3"/>
      <c r="T61" s="3"/>
      <c r="U61" s="3"/>
      <c r="V61" s="20">
        <f t="shared" si="9"/>
        <v>0</v>
      </c>
      <c r="W61" s="3"/>
      <c r="X61" s="3">
        <f t="shared" si="10"/>
        <v>0</v>
      </c>
      <c r="Y61" s="3"/>
      <c r="Z61" s="20">
        <f t="shared" si="11"/>
        <v>0</v>
      </c>
    </row>
    <row r="62" spans="1:26" s="70" customFormat="1" ht="15" hidden="1" customHeight="1" outlineLevel="1" x14ac:dyDescent="0.3">
      <c r="A62" s="42"/>
      <c r="B62" s="12" t="str">
        <f>CONCATENATE("          ","5583"," - ","FREIGHT-IN-COMPUTER EQUIPMENT")</f>
        <v xml:space="preserve">          5583 - FREIGHT-IN-COMPUTER EQUIPMENT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/>
      <c r="U62" s="3"/>
      <c r="V62" s="20">
        <f t="shared" si="9"/>
        <v>0</v>
      </c>
      <c r="W62" s="3"/>
      <c r="X62" s="3">
        <f t="shared" si="10"/>
        <v>0</v>
      </c>
      <c r="Y62" s="3"/>
      <c r="Z62" s="20">
        <f t="shared" si="11"/>
        <v>0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3">
      <c r="A64" s="11"/>
      <c r="B64" s="27" t="s">
        <v>289</v>
      </c>
      <c r="C64" s="27"/>
      <c r="D64" s="21">
        <f>D12-D27</f>
        <v>2182950.4700000002</v>
      </c>
      <c r="E64" s="15"/>
      <c r="F64" s="23">
        <f>IF(D$12=0,0,D64/D$12)</f>
        <v>0.65257461053610066</v>
      </c>
      <c r="G64" s="15"/>
      <c r="H64" s="21">
        <f>H12-H27</f>
        <v>1353251</v>
      </c>
      <c r="I64" s="15"/>
      <c r="J64" s="23">
        <f>IF(H$12=0,0,H64/H$12)</f>
        <v>0.62627748711695053</v>
      </c>
      <c r="K64" s="17"/>
      <c r="L64" s="21">
        <f>+D64-H64</f>
        <v>829699.4700000002</v>
      </c>
      <c r="M64" s="17"/>
      <c r="N64" s="23">
        <f>IF(H64=0,0,L64/H64)</f>
        <v>0.613115726498632</v>
      </c>
      <c r="O64" s="28"/>
      <c r="P64" s="21">
        <f>P12-P27</f>
        <v>13099958.459999999</v>
      </c>
      <c r="Q64" s="15"/>
      <c r="R64" s="23">
        <f>IF(P$12=0,0,P64/P$12)</f>
        <v>0.59927226122058042</v>
      </c>
      <c r="S64" s="15"/>
      <c r="T64" s="21">
        <f>T12-T27</f>
        <v>11297551</v>
      </c>
      <c r="U64" s="15"/>
      <c r="V64" s="23">
        <f>IF(T$12=0,0,T64/T$12)</f>
        <v>0.53644038900453872</v>
      </c>
      <c r="W64" s="17"/>
      <c r="X64" s="21">
        <f>+P64-T64</f>
        <v>1802407.459999999</v>
      </c>
      <c r="Y64" s="17"/>
      <c r="Z64" s="23">
        <f>IF(T64=0,0,X64/T64)</f>
        <v>0.15953966129473537</v>
      </c>
    </row>
    <row r="65" spans="1:26" ht="15" customHeight="1" x14ac:dyDescent="0.3">
      <c r="A65" s="10"/>
      <c r="B65" s="11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3">
      <c r="A66" s="11"/>
      <c r="B66" s="28" t="s">
        <v>290</v>
      </c>
      <c r="C66" s="11"/>
      <c r="D66" s="22" cm="1">
        <f t="array" ref="D66">SUM(OSRRefD22x_0)</f>
        <v>1332231.1599999995</v>
      </c>
      <c r="E66" s="22"/>
      <c r="F66" s="33">
        <f t="shared" ref="F66:F97" si="12">IF(D$12=0,0,D66/D$12)</f>
        <v>0.39825925614384516</v>
      </c>
      <c r="G66" s="22"/>
      <c r="H66" s="22" cm="1">
        <f t="array" ref="H66">SUM(OSRRefH22x_0)</f>
        <v>1280451.8692051908</v>
      </c>
      <c r="I66" s="22"/>
      <c r="J66" s="33">
        <f t="shared" ref="J66:J97" si="13">IF(H$12=0,0,H66/H$12)</f>
        <v>0.59258643002667588</v>
      </c>
      <c r="K66" s="5"/>
      <c r="L66" s="22">
        <f t="shared" ref="L66:L97" si="14">+D66-H66</f>
        <v>51779.29079480865</v>
      </c>
      <c r="M66" s="5"/>
      <c r="N66" s="33">
        <f t="shared" ref="N66:N97" si="15">IF(H66=0,0,L66/H66)</f>
        <v>4.0438295292543391E-2</v>
      </c>
      <c r="O66" s="11"/>
      <c r="P66" s="22" cm="1">
        <f t="array" ref="P66">SUM(OSRRefP22x_0)</f>
        <v>10714419.15</v>
      </c>
      <c r="Q66" s="22"/>
      <c r="R66" s="33">
        <f t="shared" ref="R66:R97" si="16">IF(P$12=0,0,P66/P$12)</f>
        <v>0.49014309559005964</v>
      </c>
      <c r="S66" s="22"/>
      <c r="T66" s="22" cm="1">
        <f t="array" ref="T66">SUM(OSRRefT22x_0)</f>
        <v>11538248.571740374</v>
      </c>
      <c r="U66" s="22"/>
      <c r="V66" s="33">
        <f t="shared" ref="V66:V97" si="17">IF(T$12=0,0,T66/T$12)</f>
        <v>0.54786940570177289</v>
      </c>
      <c r="W66" s="5"/>
      <c r="X66" s="22">
        <f t="shared" ref="X66:X97" si="18">+P66-T66</f>
        <v>-823829.4217403736</v>
      </c>
      <c r="Y66" s="5"/>
      <c r="Z66" s="33">
        <f t="shared" ref="Z66:Z97" si="19">IF(T66=0,0,X66/T66)</f>
        <v>-7.1399867719794771E-2</v>
      </c>
    </row>
    <row r="67" spans="1:26" s="69" customFormat="1" ht="15" customHeight="1" outlineLevel="1" collapsed="1" x14ac:dyDescent="0.3">
      <c r="A67" s="25"/>
      <c r="B67" s="14" t="str">
        <f>CONCATENATE("     ","*Benefits                                         ")</f>
        <v xml:space="preserve">     *Benefits                                         </v>
      </c>
      <c r="C67" s="14"/>
      <c r="D67" s="2">
        <f>SUM(OSRRefD22_0x_0)</f>
        <v>199753.57</v>
      </c>
      <c r="E67" s="2"/>
      <c r="F67" s="6">
        <f t="shared" si="12"/>
        <v>5.9714643065605477E-2</v>
      </c>
      <c r="G67" s="2"/>
      <c r="H67" s="2">
        <f>SUM(OSRRefH22_0x_0)</f>
        <v>227142.44528939298</v>
      </c>
      <c r="I67" s="2"/>
      <c r="J67" s="6">
        <f t="shared" si="13"/>
        <v>0.1051203360303746</v>
      </c>
      <c r="K67" s="2"/>
      <c r="L67" s="2">
        <f t="shared" si="14"/>
        <v>-27388.875289392978</v>
      </c>
      <c r="M67" s="2"/>
      <c r="N67" s="6">
        <f t="shared" si="15"/>
        <v>-0.12058017273917221</v>
      </c>
      <c r="O67" s="14"/>
      <c r="P67" s="2">
        <f>SUM(OSRRefP22_0x_0)</f>
        <v>1754563.9300000002</v>
      </c>
      <c r="Q67" s="2"/>
      <c r="R67" s="6">
        <f t="shared" si="16"/>
        <v>8.026449068504668E-2</v>
      </c>
      <c r="S67" s="2"/>
      <c r="T67" s="2">
        <f>SUM(OSRRefT22_0x_0)</f>
        <v>2032550.6176548905</v>
      </c>
      <c r="U67" s="2"/>
      <c r="V67" s="6">
        <f t="shared" si="17"/>
        <v>9.6511380564354612E-2</v>
      </c>
      <c r="W67" s="2"/>
      <c r="X67" s="2">
        <f t="shared" si="18"/>
        <v>-277986.68765489035</v>
      </c>
      <c r="Y67" s="2"/>
      <c r="Z67" s="6">
        <f t="shared" si="19"/>
        <v>-0.13676741196026149</v>
      </c>
    </row>
    <row r="68" spans="1:26" s="70" customFormat="1" ht="15" hidden="1" customHeight="1" outlineLevel="2" x14ac:dyDescent="0.3">
      <c r="A68" s="26"/>
      <c r="B68" s="12" t="str">
        <f>CONCATENATE("          ","6111"," - ","F.I.C.A.")</f>
        <v xml:space="preserve">          6111 - F.I.C.A.</v>
      </c>
      <c r="C68" s="12"/>
      <c r="D68" s="7">
        <v>38007.870000000003</v>
      </c>
      <c r="E68" s="3"/>
      <c r="F68" s="8">
        <f t="shared" si="12"/>
        <v>1.1362131804372429E-2</v>
      </c>
      <c r="G68" s="3"/>
      <c r="H68" s="7">
        <v>32716.4553702173</v>
      </c>
      <c r="I68" s="3"/>
      <c r="J68" s="8">
        <f t="shared" si="13"/>
        <v>1.5141004482267925E-2</v>
      </c>
      <c r="K68" s="3"/>
      <c r="L68" s="7">
        <f t="shared" si="14"/>
        <v>5291.4146297827028</v>
      </c>
      <c r="M68" s="3"/>
      <c r="N68" s="8">
        <f t="shared" si="15"/>
        <v>0.16173557220381596</v>
      </c>
      <c r="O68" s="12"/>
      <c r="P68" s="7">
        <v>280921.51</v>
      </c>
      <c r="Q68" s="3"/>
      <c r="R68" s="8">
        <f t="shared" si="16"/>
        <v>1.2851068882183304E-2</v>
      </c>
      <c r="S68" s="3"/>
      <c r="T68" s="7">
        <v>290441.20196651301</v>
      </c>
      <c r="U68" s="3"/>
      <c r="V68" s="8">
        <f t="shared" si="17"/>
        <v>1.379098809696562E-2</v>
      </c>
      <c r="W68" s="3"/>
      <c r="X68" s="7">
        <f t="shared" si="18"/>
        <v>-9519.6919665129972</v>
      </c>
      <c r="Y68" s="3"/>
      <c r="Z68" s="8">
        <f t="shared" si="19"/>
        <v>-3.2776658070746409E-2</v>
      </c>
    </row>
    <row r="69" spans="1:26" s="70" customFormat="1" ht="15" hidden="1" customHeight="1" outlineLevel="2" x14ac:dyDescent="0.3">
      <c r="A69" s="26"/>
      <c r="B69" s="12" t="str">
        <f>CONCATENATE("          ","6112"," - ","COMPENSATION INSURANCE")</f>
        <v xml:space="preserve">          6112 - COMPENSATION INSURANCE</v>
      </c>
      <c r="C69" s="12"/>
      <c r="D69" s="7">
        <v>14038.82</v>
      </c>
      <c r="E69" s="3"/>
      <c r="F69" s="8">
        <f t="shared" si="12"/>
        <v>4.1967866975407917E-3</v>
      </c>
      <c r="G69" s="3"/>
      <c r="H69" s="7">
        <v>21251.878469622301</v>
      </c>
      <c r="I69" s="3"/>
      <c r="J69" s="8">
        <f t="shared" si="13"/>
        <v>9.8352582369936395E-3</v>
      </c>
      <c r="K69" s="3"/>
      <c r="L69" s="7">
        <f t="shared" si="14"/>
        <v>-7213.0584696223013</v>
      </c>
      <c r="M69" s="3"/>
      <c r="N69" s="8">
        <f t="shared" si="15"/>
        <v>-0.33940804244352973</v>
      </c>
      <c r="O69" s="12"/>
      <c r="P69" s="7">
        <v>128842.33</v>
      </c>
      <c r="Q69" s="3"/>
      <c r="R69" s="8">
        <f t="shared" si="16"/>
        <v>5.8940365861303839E-3</v>
      </c>
      <c r="S69" s="3"/>
      <c r="T69" s="7">
        <v>175236.920990832</v>
      </c>
      <c r="U69" s="3"/>
      <c r="V69" s="8">
        <f t="shared" si="17"/>
        <v>8.320755716374242E-3</v>
      </c>
      <c r="W69" s="3"/>
      <c r="X69" s="7">
        <f t="shared" si="18"/>
        <v>-46394.590990832003</v>
      </c>
      <c r="Y69" s="3"/>
      <c r="Z69" s="8">
        <f t="shared" si="19"/>
        <v>-0.26475351614548892</v>
      </c>
    </row>
    <row r="70" spans="1:26" s="70" customFormat="1" ht="15" hidden="1" customHeight="1" outlineLevel="2" x14ac:dyDescent="0.3">
      <c r="A70" s="26"/>
      <c r="B70" s="12" t="str">
        <f>CONCATENATE("          ","6113"," - ","GROUP INSURANCE")</f>
        <v xml:space="preserve">          6113 - GROUP INSURANCE</v>
      </c>
      <c r="C70" s="12"/>
      <c r="D70" s="7">
        <v>71396.320000000007</v>
      </c>
      <c r="E70" s="3"/>
      <c r="F70" s="8">
        <f t="shared" si="12"/>
        <v>2.13433270053584E-2</v>
      </c>
      <c r="G70" s="3"/>
      <c r="H70" s="7">
        <v>110469.769230769</v>
      </c>
      <c r="I70" s="3"/>
      <c r="J70" s="8">
        <f t="shared" si="13"/>
        <v>5.112483159165257E-2</v>
      </c>
      <c r="K70" s="3"/>
      <c r="L70" s="7">
        <f t="shared" si="14"/>
        <v>-39073.449230768994</v>
      </c>
      <c r="M70" s="3"/>
      <c r="N70" s="8">
        <f t="shared" si="15"/>
        <v>-0.35370264193406059</v>
      </c>
      <c r="O70" s="12"/>
      <c r="P70" s="7">
        <v>743977.44</v>
      </c>
      <c r="Q70" s="3"/>
      <c r="R70" s="8">
        <f t="shared" si="16"/>
        <v>3.4034080652031222E-2</v>
      </c>
      <c r="S70" s="3"/>
      <c r="T70" s="7">
        <v>1010530.31153846</v>
      </c>
      <c r="U70" s="3"/>
      <c r="V70" s="8">
        <f t="shared" si="17"/>
        <v>4.7982901198903125E-2</v>
      </c>
      <c r="W70" s="3"/>
      <c r="X70" s="7">
        <f t="shared" si="18"/>
        <v>-266552.87153846002</v>
      </c>
      <c r="Y70" s="3"/>
      <c r="Z70" s="8">
        <f t="shared" si="19"/>
        <v>-0.26377523612592318</v>
      </c>
    </row>
    <row r="71" spans="1:26" s="70" customFormat="1" ht="15" hidden="1" customHeight="1" outlineLevel="2" x14ac:dyDescent="0.3">
      <c r="A71" s="26"/>
      <c r="B71" s="12" t="str">
        <f>CONCATENATE("          ","6114"," - ","STATE UNEMPLOYMENT INSURANCE")</f>
        <v xml:space="preserve">          6114 - STATE UNEMPLOYMENT INSURANCE</v>
      </c>
      <c r="C71" s="12"/>
      <c r="D71" s="7">
        <v>1367.99</v>
      </c>
      <c r="E71" s="3"/>
      <c r="F71" s="8">
        <f t="shared" si="12"/>
        <v>4.0894905942015269E-4</v>
      </c>
      <c r="G71" s="3"/>
      <c r="H71" s="7">
        <v>1451.9661488325</v>
      </c>
      <c r="I71" s="3"/>
      <c r="J71" s="8">
        <f t="shared" si="13"/>
        <v>6.7196234184914276E-4</v>
      </c>
      <c r="K71" s="3"/>
      <c r="L71" s="7">
        <f t="shared" si="14"/>
        <v>-83.97614883250003</v>
      </c>
      <c r="M71" s="3"/>
      <c r="N71" s="8">
        <f t="shared" si="15"/>
        <v>-5.7836161607502865E-2</v>
      </c>
      <c r="O71" s="12"/>
      <c r="P71" s="7">
        <v>12814.91</v>
      </c>
      <c r="Q71" s="3"/>
      <c r="R71" s="8">
        <f t="shared" si="16"/>
        <v>5.8623240039176652E-4</v>
      </c>
      <c r="S71" s="3"/>
      <c r="T71" s="7">
        <v>12378.6360461238</v>
      </c>
      <c r="U71" s="3"/>
      <c r="V71" s="8">
        <f t="shared" si="17"/>
        <v>5.8777343301466458E-4</v>
      </c>
      <c r="W71" s="3"/>
      <c r="X71" s="7">
        <f t="shared" si="18"/>
        <v>436.27395387619981</v>
      </c>
      <c r="Y71" s="3"/>
      <c r="Z71" s="8">
        <f t="shared" si="19"/>
        <v>3.5244105428950956E-2</v>
      </c>
    </row>
    <row r="72" spans="1:26" s="70" customFormat="1" ht="15" hidden="1" customHeight="1" outlineLevel="2" x14ac:dyDescent="0.3">
      <c r="A72" s="26"/>
      <c r="B72" s="12" t="str">
        <f>CONCATENATE("          ","6115"," - ","P.E.R.S.")</f>
        <v xml:space="preserve">          6115 - P.E.R.S.</v>
      </c>
      <c r="C72" s="12"/>
      <c r="D72" s="7">
        <v>18748.23</v>
      </c>
      <c r="E72" s="3"/>
      <c r="F72" s="8">
        <f t="shared" si="12"/>
        <v>5.6046250515666704E-3</v>
      </c>
      <c r="G72" s="3"/>
      <c r="H72" s="7">
        <v>15061.18916975</v>
      </c>
      <c r="I72" s="3"/>
      <c r="J72" s="8">
        <f t="shared" si="13"/>
        <v>6.970239597993322E-3</v>
      </c>
      <c r="K72" s="3"/>
      <c r="L72" s="7">
        <f t="shared" si="14"/>
        <v>3687.04083025</v>
      </c>
      <c r="M72" s="3"/>
      <c r="N72" s="8">
        <f t="shared" si="15"/>
        <v>0.24480409804926453</v>
      </c>
      <c r="O72" s="12"/>
      <c r="P72" s="7">
        <v>155347.29</v>
      </c>
      <c r="Q72" s="3"/>
      <c r="R72" s="8">
        <f t="shared" si="16"/>
        <v>7.1065356456702288E-3</v>
      </c>
      <c r="S72" s="3"/>
      <c r="T72" s="7">
        <v>131265.04529533899</v>
      </c>
      <c r="U72" s="3"/>
      <c r="V72" s="8">
        <f t="shared" si="17"/>
        <v>6.2328439111210962E-3</v>
      </c>
      <c r="W72" s="3"/>
      <c r="X72" s="7">
        <f t="shared" si="18"/>
        <v>24082.244704661018</v>
      </c>
      <c r="Y72" s="3"/>
      <c r="Z72" s="8">
        <f t="shared" si="19"/>
        <v>0.18346273869389462</v>
      </c>
    </row>
    <row r="73" spans="1:26" s="70" customFormat="1" ht="15" hidden="1" customHeight="1" outlineLevel="2" x14ac:dyDescent="0.3">
      <c r="A73" s="26"/>
      <c r="B73" s="12" t="str">
        <f>CONCATENATE("          ","6116"," - ","EDUCATIONAL BENEFITS")</f>
        <v xml:space="preserve">          6116 - EDUCATIONAL BENEFITS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","6117"," - ","RETIREMENT STAFF HOURLY")</f>
        <v xml:space="preserve">          6117 - RETIREMENT STAFF HOURLY</v>
      </c>
      <c r="C74" s="12"/>
      <c r="D74" s="7">
        <v>2679.87</v>
      </c>
      <c r="E74" s="3"/>
      <c r="F74" s="8">
        <f t="shared" si="12"/>
        <v>8.0112450812380536E-4</v>
      </c>
      <c r="G74" s="3"/>
      <c r="H74" s="7"/>
      <c r="I74" s="3"/>
      <c r="J74" s="8">
        <f t="shared" si="13"/>
        <v>0</v>
      </c>
      <c r="K74" s="3"/>
      <c r="L74" s="7">
        <f t="shared" si="14"/>
        <v>2679.87</v>
      </c>
      <c r="M74" s="3"/>
      <c r="N74" s="8">
        <f t="shared" si="15"/>
        <v>0</v>
      </c>
      <c r="O74" s="12"/>
      <c r="P74" s="7">
        <v>25354.080000000002</v>
      </c>
      <c r="Q74" s="3"/>
      <c r="R74" s="8">
        <f t="shared" si="16"/>
        <v>1.1598507658754436E-3</v>
      </c>
      <c r="S74" s="3"/>
      <c r="T74" s="7"/>
      <c r="U74" s="3"/>
      <c r="V74" s="8">
        <f t="shared" si="17"/>
        <v>0</v>
      </c>
      <c r="W74" s="3"/>
      <c r="X74" s="7">
        <f t="shared" si="18"/>
        <v>25354.080000000002</v>
      </c>
      <c r="Y74" s="3"/>
      <c r="Z74" s="8">
        <f t="shared" si="19"/>
        <v>0</v>
      </c>
    </row>
    <row r="75" spans="1:26" s="70" customFormat="1" ht="15" hidden="1" customHeight="1" outlineLevel="2" x14ac:dyDescent="0.3">
      <c r="A75" s="26"/>
      <c r="B75" s="12" t="str">
        <f>CONCATENATE("          ","6118"," - ","VACATION")</f>
        <v xml:space="preserve">          6118 - VACATION</v>
      </c>
      <c r="C75" s="12"/>
      <c r="D75" s="7">
        <v>24692.19</v>
      </c>
      <c r="E75" s="3"/>
      <c r="F75" s="8">
        <f t="shared" si="12"/>
        <v>7.3815217037578491E-3</v>
      </c>
      <c r="G75" s="3"/>
      <c r="H75" s="7">
        <v>15645.6767237596</v>
      </c>
      <c r="I75" s="3"/>
      <c r="J75" s="8">
        <f t="shared" si="13"/>
        <v>7.2407373819050021E-3</v>
      </c>
      <c r="K75" s="3"/>
      <c r="L75" s="7">
        <f t="shared" si="14"/>
        <v>9046.5132762403991</v>
      </c>
      <c r="M75" s="3"/>
      <c r="N75" s="8">
        <f t="shared" si="15"/>
        <v>0.5782116961743381</v>
      </c>
      <c r="O75" s="12"/>
      <c r="P75" s="7">
        <v>194253.39</v>
      </c>
      <c r="Q75" s="3"/>
      <c r="R75" s="8">
        <f t="shared" si="16"/>
        <v>8.8863387338606343E-3</v>
      </c>
      <c r="S75" s="3"/>
      <c r="T75" s="7">
        <v>138498.812857515</v>
      </c>
      <c r="U75" s="3"/>
      <c r="V75" s="8">
        <f t="shared" si="17"/>
        <v>6.576324111832039E-3</v>
      </c>
      <c r="W75" s="3"/>
      <c r="X75" s="7">
        <f t="shared" si="18"/>
        <v>55754.57714248501</v>
      </c>
      <c r="Y75" s="3"/>
      <c r="Z75" s="8">
        <f t="shared" si="19"/>
        <v>0.40256357431629597</v>
      </c>
    </row>
    <row r="76" spans="1:26" s="70" customFormat="1" ht="15" hidden="1" customHeight="1" outlineLevel="2" x14ac:dyDescent="0.3">
      <c r="A76" s="26"/>
      <c r="B76" s="12" t="str">
        <f>CONCATENATE("          ","6119"," - ","SICK LEAVE")</f>
        <v xml:space="preserve">          6119 - SICK LEAVE</v>
      </c>
      <c r="C76" s="12"/>
      <c r="D76" s="7">
        <v>18962.21</v>
      </c>
      <c r="E76" s="3"/>
      <c r="F76" s="8">
        <f t="shared" si="12"/>
        <v>5.6685925657551685E-3</v>
      </c>
      <c r="G76" s="3"/>
      <c r="H76" s="7">
        <v>21375.510176442302</v>
      </c>
      <c r="I76" s="3"/>
      <c r="J76" s="8">
        <f t="shared" si="13"/>
        <v>9.8924743444823524E-3</v>
      </c>
      <c r="K76" s="3"/>
      <c r="L76" s="7">
        <f t="shared" si="14"/>
        <v>-2413.3001764423025</v>
      </c>
      <c r="M76" s="3"/>
      <c r="N76" s="8">
        <f t="shared" si="15"/>
        <v>-0.11290023753921777</v>
      </c>
      <c r="O76" s="12"/>
      <c r="P76" s="7">
        <v>129751.92</v>
      </c>
      <c r="Q76" s="3"/>
      <c r="R76" s="8">
        <f t="shared" si="16"/>
        <v>5.9356467986931205E-3</v>
      </c>
      <c r="S76" s="3"/>
      <c r="T76" s="7">
        <v>184304.688960108</v>
      </c>
      <c r="U76" s="3"/>
      <c r="V76" s="8">
        <f t="shared" si="17"/>
        <v>8.7513195595329343E-3</v>
      </c>
      <c r="W76" s="3"/>
      <c r="X76" s="7">
        <f t="shared" si="18"/>
        <v>-54552.768960108006</v>
      </c>
      <c r="Y76" s="3"/>
      <c r="Z76" s="8">
        <f t="shared" si="19"/>
        <v>-0.29599230094420292</v>
      </c>
    </row>
    <row r="77" spans="1:26" s="70" customFormat="1" ht="15" hidden="1" customHeight="1" outlineLevel="2" x14ac:dyDescent="0.3">
      <c r="A77" s="26"/>
      <c r="B77" s="12" t="str">
        <f>CONCATENATE("          ","6156"," - ","EMPLOYEE MEALS")</f>
        <v xml:space="preserve">          6156 - EMPLOYEE MEALS</v>
      </c>
      <c r="C77" s="12"/>
      <c r="D77" s="7">
        <v>9860.07</v>
      </c>
      <c r="E77" s="3"/>
      <c r="F77" s="8">
        <f t="shared" si="12"/>
        <v>2.9475846697102062E-3</v>
      </c>
      <c r="G77" s="3"/>
      <c r="H77" s="7">
        <v>9170</v>
      </c>
      <c r="I77" s="3"/>
      <c r="J77" s="8">
        <f t="shared" si="13"/>
        <v>4.243828053230655E-3</v>
      </c>
      <c r="K77" s="3"/>
      <c r="L77" s="7">
        <f t="shared" si="14"/>
        <v>690.06999999999971</v>
      </c>
      <c r="M77" s="3"/>
      <c r="N77" s="8">
        <f t="shared" si="15"/>
        <v>7.5252998909487431E-2</v>
      </c>
      <c r="O77" s="12"/>
      <c r="P77" s="7">
        <v>83301.06</v>
      </c>
      <c r="Q77" s="3"/>
      <c r="R77" s="8">
        <f t="shared" si="16"/>
        <v>3.8107002202105648E-3</v>
      </c>
      <c r="S77" s="3"/>
      <c r="T77" s="7">
        <v>89895</v>
      </c>
      <c r="U77" s="3"/>
      <c r="V77" s="8">
        <f t="shared" si="17"/>
        <v>4.2684745366109002E-3</v>
      </c>
      <c r="W77" s="3"/>
      <c r="X77" s="7">
        <f t="shared" si="18"/>
        <v>-6593.9400000000023</v>
      </c>
      <c r="Y77" s="3"/>
      <c r="Z77" s="8">
        <f t="shared" si="19"/>
        <v>-7.3351576839646285E-2</v>
      </c>
    </row>
    <row r="78" spans="1:26" s="69" customFormat="1" ht="15" customHeight="1" outlineLevel="1" collapsed="1" x14ac:dyDescent="0.3">
      <c r="A78" s="25"/>
      <c r="B78" s="14" t="str">
        <f>CONCATENATE("     ","*Payroll                                          ")</f>
        <v xml:space="preserve">     *Payroll                                          </v>
      </c>
      <c r="C78" s="14"/>
      <c r="D78" s="2">
        <f>SUM(OSRRefD22_1x_0)</f>
        <v>668253.4800000001</v>
      </c>
      <c r="E78" s="2"/>
      <c r="F78" s="6">
        <f t="shared" si="12"/>
        <v>0.19976873522485095</v>
      </c>
      <c r="G78" s="2"/>
      <c r="H78" s="2">
        <f>SUM(OSRRefH22_1x_0)</f>
        <v>659701.17391579773</v>
      </c>
      <c r="I78" s="2"/>
      <c r="J78" s="6">
        <f t="shared" si="13"/>
        <v>0.30530625393817418</v>
      </c>
      <c r="K78" s="2"/>
      <c r="L78" s="2">
        <f t="shared" si="14"/>
        <v>8552.3060842023697</v>
      </c>
      <c r="M78" s="2"/>
      <c r="N78" s="6">
        <f t="shared" si="15"/>
        <v>1.2963909149105076E-2</v>
      </c>
      <c r="O78" s="14"/>
      <c r="P78" s="2">
        <f>SUM(OSRRefP22_1x_0)</f>
        <v>5188954.2399999993</v>
      </c>
      <c r="Q78" s="2"/>
      <c r="R78" s="6">
        <f t="shared" si="16"/>
        <v>0.23737451918415614</v>
      </c>
      <c r="S78" s="2"/>
      <c r="T78" s="2">
        <f>SUM(OSRRefT22_1x_0)</f>
        <v>5624006.2040854841</v>
      </c>
      <c r="U78" s="2"/>
      <c r="V78" s="6">
        <f t="shared" si="17"/>
        <v>0.26704407671039115</v>
      </c>
      <c r="W78" s="2"/>
      <c r="X78" s="2">
        <f t="shared" si="18"/>
        <v>-435051.96408548485</v>
      </c>
      <c r="Y78" s="2"/>
      <c r="Z78" s="6">
        <f t="shared" si="19"/>
        <v>-7.7356238293166735E-2</v>
      </c>
    </row>
    <row r="79" spans="1:26" s="70" customFormat="1" ht="15" hidden="1" customHeight="1" outlineLevel="2" x14ac:dyDescent="0.3">
      <c r="A79" s="26"/>
      <c r="B79" s="12" t="str">
        <f>CONCATENATE("          ","6001"," - ","ADMINISTRATIVE SALARIES")</f>
        <v xml:space="preserve">          6001 - ADMINISTRATIVE SALARIES</v>
      </c>
      <c r="C79" s="12"/>
      <c r="D79" s="7">
        <v>30676.82</v>
      </c>
      <c r="E79" s="3"/>
      <c r="F79" s="8">
        <f t="shared" si="12"/>
        <v>9.1705763090383172E-3</v>
      </c>
      <c r="G79" s="3"/>
      <c r="H79" s="7">
        <v>23184.9038461538</v>
      </c>
      <c r="I79" s="3"/>
      <c r="J79" s="8">
        <f t="shared" si="13"/>
        <v>1.0729852274128985E-2</v>
      </c>
      <c r="K79" s="3"/>
      <c r="L79" s="7">
        <f t="shared" si="14"/>
        <v>7491.9161538461994</v>
      </c>
      <c r="M79" s="3"/>
      <c r="N79" s="8">
        <f t="shared" si="15"/>
        <v>0.32313768491599981</v>
      </c>
      <c r="O79" s="12"/>
      <c r="P79" s="7">
        <v>302544.7</v>
      </c>
      <c r="Q79" s="3"/>
      <c r="R79" s="8">
        <f t="shared" si="16"/>
        <v>1.3840245909398263E-2</v>
      </c>
      <c r="S79" s="3"/>
      <c r="T79" s="7">
        <v>204027.15384615399</v>
      </c>
      <c r="U79" s="3"/>
      <c r="V79" s="8">
        <f t="shared" si="17"/>
        <v>9.687799220974503E-3</v>
      </c>
      <c r="W79" s="3"/>
      <c r="X79" s="7">
        <f t="shared" si="18"/>
        <v>98517.546153846022</v>
      </c>
      <c r="Y79" s="3"/>
      <c r="Z79" s="8">
        <f t="shared" si="19"/>
        <v>0.48286487507507386</v>
      </c>
    </row>
    <row r="80" spans="1:26" s="70" customFormat="1" ht="15" hidden="1" customHeight="1" outlineLevel="2" x14ac:dyDescent="0.3">
      <c r="A80" s="26"/>
      <c r="B80" s="12" t="str">
        <f>CONCATENATE("          ","6002"," - ","STAFF SALARIES")</f>
        <v xml:space="preserve">          6002 - STAFF SALARIES</v>
      </c>
      <c r="C80" s="12"/>
      <c r="D80" s="7">
        <v>132640.35999999999</v>
      </c>
      <c r="E80" s="3"/>
      <c r="F80" s="8">
        <f t="shared" si="12"/>
        <v>3.9651715628879189E-2</v>
      </c>
      <c r="G80" s="3"/>
      <c r="H80" s="7">
        <v>138394.722644644</v>
      </c>
      <c r="I80" s="3"/>
      <c r="J80" s="8">
        <f t="shared" si="13"/>
        <v>6.4048354021637513E-2</v>
      </c>
      <c r="K80" s="3"/>
      <c r="L80" s="7">
        <f t="shared" si="14"/>
        <v>-5754.3626446440176</v>
      </c>
      <c r="M80" s="3"/>
      <c r="N80" s="8">
        <f t="shared" si="15"/>
        <v>-4.1579350243141057E-2</v>
      </c>
      <c r="O80" s="12"/>
      <c r="P80" s="7">
        <v>1236363.47</v>
      </c>
      <c r="Q80" s="3"/>
      <c r="R80" s="8">
        <f t="shared" si="16"/>
        <v>5.6558830672614462E-2</v>
      </c>
      <c r="S80" s="3"/>
      <c r="T80" s="7">
        <v>1201693.23631133</v>
      </c>
      <c r="U80" s="3"/>
      <c r="V80" s="8">
        <f t="shared" si="17"/>
        <v>5.705986962581297E-2</v>
      </c>
      <c r="W80" s="3"/>
      <c r="X80" s="7">
        <f t="shared" si="18"/>
        <v>34670.233688669978</v>
      </c>
      <c r="Y80" s="3"/>
      <c r="Z80" s="8">
        <f t="shared" si="19"/>
        <v>2.8851151559354995E-2</v>
      </c>
    </row>
    <row r="81" spans="1:26" s="70" customFormat="1" ht="15" hidden="1" customHeight="1" outlineLevel="2" x14ac:dyDescent="0.3">
      <c r="A81" s="26"/>
      <c r="B81" s="12" t="str">
        <f>CONCATENATE("          ","6003"," - ","STAFF HOURLY-9 MONTH")</f>
        <v xml:space="preserve">          6003 - STAFF HOURLY-9 MONTH</v>
      </c>
      <c r="C81" s="12"/>
      <c r="D81" s="7"/>
      <c r="E81" s="3"/>
      <c r="F81" s="8">
        <f t="shared" si="12"/>
        <v>0</v>
      </c>
      <c r="G81" s="3"/>
      <c r="H81" s="7">
        <v>0</v>
      </c>
      <c r="I81" s="3"/>
      <c r="J81" s="8">
        <f t="shared" si="13"/>
        <v>0</v>
      </c>
      <c r="K81" s="3"/>
      <c r="L81" s="7">
        <f t="shared" si="14"/>
        <v>0</v>
      </c>
      <c r="M81" s="3"/>
      <c r="N81" s="8">
        <f t="shared" si="15"/>
        <v>0</v>
      </c>
      <c r="O81" s="12"/>
      <c r="P81" s="7"/>
      <c r="Q81" s="3"/>
      <c r="R81" s="8">
        <f t="shared" si="16"/>
        <v>0</v>
      </c>
      <c r="S81" s="3"/>
      <c r="T81" s="7">
        <v>0</v>
      </c>
      <c r="U81" s="3"/>
      <c r="V81" s="8">
        <f t="shared" si="17"/>
        <v>0</v>
      </c>
      <c r="W81" s="3"/>
      <c r="X81" s="7">
        <f t="shared" si="18"/>
        <v>0</v>
      </c>
      <c r="Y81" s="3"/>
      <c r="Z81" s="8">
        <f t="shared" si="19"/>
        <v>0</v>
      </c>
    </row>
    <row r="82" spans="1:26" s="70" customFormat="1" ht="15" hidden="1" customHeight="1" outlineLevel="2" x14ac:dyDescent="0.3">
      <c r="A82" s="26"/>
      <c r="B82" s="12" t="str">
        <f>CONCATENATE("          ","6004"," - ","STAFF HOURLY")</f>
        <v xml:space="preserve">          6004 - STAFF HOURLY</v>
      </c>
      <c r="C82" s="12"/>
      <c r="D82" s="7">
        <v>180016.06</v>
      </c>
      <c r="E82" s="3"/>
      <c r="F82" s="8">
        <f t="shared" si="12"/>
        <v>5.3814281111354452E-2</v>
      </c>
      <c r="G82" s="3"/>
      <c r="H82" s="7">
        <v>200020.31015</v>
      </c>
      <c r="I82" s="3"/>
      <c r="J82" s="8">
        <f t="shared" si="13"/>
        <v>9.2568353700159894E-2</v>
      </c>
      <c r="K82" s="3"/>
      <c r="L82" s="7">
        <f t="shared" si="14"/>
        <v>-20004.250150000007</v>
      </c>
      <c r="M82" s="3"/>
      <c r="N82" s="8">
        <f t="shared" si="15"/>
        <v>-0.10001109454834033</v>
      </c>
      <c r="O82" s="12"/>
      <c r="P82" s="7">
        <v>1209185.76</v>
      </c>
      <c r="Q82" s="3"/>
      <c r="R82" s="8">
        <f t="shared" si="16"/>
        <v>5.531555591138311E-2</v>
      </c>
      <c r="S82" s="3"/>
      <c r="T82" s="7">
        <v>1692376.956678</v>
      </c>
      <c r="U82" s="3"/>
      <c r="V82" s="8">
        <f t="shared" si="17"/>
        <v>8.0358951509284071E-2</v>
      </c>
      <c r="W82" s="3"/>
      <c r="X82" s="7">
        <f t="shared" si="18"/>
        <v>-483191.19667800004</v>
      </c>
      <c r="Y82" s="3"/>
      <c r="Z82" s="8">
        <f t="shared" si="19"/>
        <v>-0.28551038512511157</v>
      </c>
    </row>
    <row r="83" spans="1:26" s="70" customFormat="1" ht="15" hidden="1" customHeight="1" outlineLevel="2" x14ac:dyDescent="0.3">
      <c r="A83" s="26"/>
      <c r="B83" s="12" t="str">
        <f>CONCATENATE("          ","6005"," - ","TEMPORARY WAGES-HOURLY")</f>
        <v xml:space="preserve">          6005 - TEMPORARY WAGES-HOURLY</v>
      </c>
      <c r="C83" s="12"/>
      <c r="D83" s="7">
        <v>81599.64</v>
      </c>
      <c r="E83" s="3"/>
      <c r="F83" s="8">
        <f t="shared" si="12"/>
        <v>2.4393523364222743E-2</v>
      </c>
      <c r="G83" s="3"/>
      <c r="H83" s="7">
        <v>40844.433599999997</v>
      </c>
      <c r="I83" s="3"/>
      <c r="J83" s="8">
        <f t="shared" si="13"/>
        <v>1.8902590308614693E-2</v>
      </c>
      <c r="K83" s="3"/>
      <c r="L83" s="7">
        <f t="shared" si="14"/>
        <v>40755.206400000003</v>
      </c>
      <c r="M83" s="3"/>
      <c r="N83" s="8">
        <f t="shared" si="15"/>
        <v>0.9978154379401164</v>
      </c>
      <c r="O83" s="12"/>
      <c r="P83" s="7">
        <v>662097.05000000005</v>
      </c>
      <c r="Q83" s="3"/>
      <c r="R83" s="8">
        <f t="shared" si="16"/>
        <v>3.0288370570983915E-2</v>
      </c>
      <c r="S83" s="3"/>
      <c r="T83" s="7">
        <v>346260.21084999997</v>
      </c>
      <c r="U83" s="3"/>
      <c r="V83" s="8">
        <f t="shared" si="17"/>
        <v>1.6441436042658058E-2</v>
      </c>
      <c r="W83" s="3"/>
      <c r="X83" s="7">
        <f t="shared" si="18"/>
        <v>315836.83915000007</v>
      </c>
      <c r="Y83" s="3"/>
      <c r="Z83" s="8">
        <f t="shared" si="19"/>
        <v>0.9121372576268103</v>
      </c>
    </row>
    <row r="84" spans="1:26" s="70" customFormat="1" ht="15" hidden="1" customHeight="1" outlineLevel="2" x14ac:dyDescent="0.3">
      <c r="A84" s="26"/>
      <c r="B84" s="12" t="str">
        <f>CONCATENATE("          ","6006"," - ","TEMPORARY PART TIME")</f>
        <v xml:space="preserve">          6006 - TEMPORARY PART TIME</v>
      </c>
      <c r="C84" s="12"/>
      <c r="D84" s="7">
        <v>8980.7099999999991</v>
      </c>
      <c r="E84" s="3"/>
      <c r="F84" s="8">
        <f t="shared" si="12"/>
        <v>2.6847074228796694E-3</v>
      </c>
      <c r="G84" s="3"/>
      <c r="H84" s="7">
        <v>0</v>
      </c>
      <c r="I84" s="3"/>
      <c r="J84" s="8">
        <f t="shared" si="13"/>
        <v>0</v>
      </c>
      <c r="K84" s="3"/>
      <c r="L84" s="7">
        <f t="shared" si="14"/>
        <v>8980.7099999999991</v>
      </c>
      <c r="M84" s="3"/>
      <c r="N84" s="8">
        <f t="shared" si="15"/>
        <v>0</v>
      </c>
      <c r="O84" s="12"/>
      <c r="P84" s="7">
        <v>30239.86</v>
      </c>
      <c r="Q84" s="3"/>
      <c r="R84" s="8">
        <f t="shared" si="16"/>
        <v>1.3833562401383206E-3</v>
      </c>
      <c r="S84" s="3"/>
      <c r="T84" s="7">
        <v>0</v>
      </c>
      <c r="U84" s="3"/>
      <c r="V84" s="8">
        <f t="shared" si="17"/>
        <v>0</v>
      </c>
      <c r="W84" s="3"/>
      <c r="X84" s="7">
        <f t="shared" si="18"/>
        <v>30239.86</v>
      </c>
      <c r="Y84" s="3"/>
      <c r="Z84" s="8">
        <f t="shared" si="19"/>
        <v>0</v>
      </c>
    </row>
    <row r="85" spans="1:26" s="70" customFormat="1" ht="15" hidden="1" customHeight="1" outlineLevel="2" x14ac:dyDescent="0.3">
      <c r="A85" s="26"/>
      <c r="B85" s="12" t="str">
        <f>CONCATENATE("          ","6007"," - ","STUDENT HOURLY")</f>
        <v xml:space="preserve">          6007 - STUDENT HOURLY</v>
      </c>
      <c r="C85" s="12"/>
      <c r="D85" s="7">
        <v>152385.1</v>
      </c>
      <c r="E85" s="3"/>
      <c r="F85" s="8">
        <f t="shared" si="12"/>
        <v>4.5554238930581303E-2</v>
      </c>
      <c r="G85" s="3"/>
      <c r="H85" s="7">
        <v>39265.111599999997</v>
      </c>
      <c r="I85" s="3"/>
      <c r="J85" s="8">
        <f t="shared" si="13"/>
        <v>1.8171688344745078E-2</v>
      </c>
      <c r="K85" s="3"/>
      <c r="L85" s="7">
        <f t="shared" si="14"/>
        <v>113119.9884</v>
      </c>
      <c r="M85" s="3"/>
      <c r="N85" s="8">
        <f t="shared" si="15"/>
        <v>2.8809287377652586</v>
      </c>
      <c r="O85" s="12"/>
      <c r="P85" s="7">
        <v>1397851.77</v>
      </c>
      <c r="Q85" s="3"/>
      <c r="R85" s="8">
        <f t="shared" si="16"/>
        <v>6.3946293693750447E-2</v>
      </c>
      <c r="S85" s="3"/>
      <c r="T85" s="7">
        <v>461214.58840000001</v>
      </c>
      <c r="U85" s="3"/>
      <c r="V85" s="8">
        <f t="shared" si="17"/>
        <v>2.1899802285987841E-2</v>
      </c>
      <c r="W85" s="3"/>
      <c r="X85" s="7">
        <f t="shared" si="18"/>
        <v>936637.18160000001</v>
      </c>
      <c r="Y85" s="3"/>
      <c r="Z85" s="8">
        <f t="shared" si="19"/>
        <v>2.030805627483053</v>
      </c>
    </row>
    <row r="86" spans="1:26" s="70" customFormat="1" ht="15" hidden="1" customHeight="1" outlineLevel="2" x14ac:dyDescent="0.3">
      <c r="A86" s="26"/>
      <c r="B86" s="12" t="str">
        <f>CONCATENATE("          ","6008"," - ","STUDENT HOURLY-FICA EXEMPT")</f>
        <v xml:space="preserve">          6008 - STUDENT HOURLY-FICA EXEMPT</v>
      </c>
      <c r="C86" s="12"/>
      <c r="D86" s="7">
        <v>81954.789999999994</v>
      </c>
      <c r="E86" s="3"/>
      <c r="F86" s="8">
        <f t="shared" si="12"/>
        <v>2.4499692457895256E-2</v>
      </c>
      <c r="G86" s="3"/>
      <c r="H86" s="7">
        <v>217991.692075</v>
      </c>
      <c r="I86" s="3"/>
      <c r="J86" s="8">
        <f t="shared" si="13"/>
        <v>0.10088541528888807</v>
      </c>
      <c r="K86" s="3"/>
      <c r="L86" s="7">
        <f t="shared" si="14"/>
        <v>-136036.90207499999</v>
      </c>
      <c r="M86" s="3"/>
      <c r="N86" s="8">
        <f t="shared" si="15"/>
        <v>-0.62404626882843095</v>
      </c>
      <c r="O86" s="12"/>
      <c r="P86" s="7">
        <v>350671.63</v>
      </c>
      <c r="Q86" s="3"/>
      <c r="R86" s="8">
        <f t="shared" si="16"/>
        <v>1.6041866185887644E-2</v>
      </c>
      <c r="S86" s="3"/>
      <c r="T86" s="7">
        <v>1718434.058</v>
      </c>
      <c r="U86" s="3"/>
      <c r="V86" s="8">
        <f t="shared" si="17"/>
        <v>8.1596218025673711E-2</v>
      </c>
      <c r="W86" s="3"/>
      <c r="X86" s="7">
        <f t="shared" si="18"/>
        <v>-1367762.4279999998</v>
      </c>
      <c r="Y86" s="3"/>
      <c r="Z86" s="8">
        <f t="shared" si="19"/>
        <v>-0.79593535849252817</v>
      </c>
    </row>
    <row r="87" spans="1:26" s="70" customFormat="1" ht="15" hidden="1" customHeight="1" outlineLevel="2" x14ac:dyDescent="0.3">
      <c r="A87" s="26"/>
      <c r="B87" s="12" t="str">
        <f>CONCATENATE("          ","6009"," - ","TEMPORARY-SEASONAL")</f>
        <v xml:space="preserve">          6009 - TEMPORARY-SEASONAL</v>
      </c>
      <c r="C87" s="12"/>
      <c r="D87" s="7"/>
      <c r="E87" s="3"/>
      <c r="F87" s="8">
        <f t="shared" si="12"/>
        <v>0</v>
      </c>
      <c r="G87" s="3"/>
      <c r="H87" s="7">
        <v>0</v>
      </c>
      <c r="I87" s="3"/>
      <c r="J87" s="8">
        <f t="shared" si="13"/>
        <v>0</v>
      </c>
      <c r="K87" s="3"/>
      <c r="L87" s="7">
        <f t="shared" si="14"/>
        <v>0</v>
      </c>
      <c r="M87" s="3"/>
      <c r="N87" s="8">
        <f t="shared" si="15"/>
        <v>0</v>
      </c>
      <c r="O87" s="12"/>
      <c r="P87" s="7"/>
      <c r="Q87" s="3"/>
      <c r="R87" s="8">
        <f t="shared" si="16"/>
        <v>0</v>
      </c>
      <c r="S87" s="3"/>
      <c r="T87" s="7">
        <v>0</v>
      </c>
      <c r="U87" s="3"/>
      <c r="V87" s="8">
        <f t="shared" si="17"/>
        <v>0</v>
      </c>
      <c r="W87" s="3"/>
      <c r="X87" s="7">
        <f t="shared" si="18"/>
        <v>0</v>
      </c>
      <c r="Y87" s="3"/>
      <c r="Z87" s="8">
        <f t="shared" si="19"/>
        <v>0</v>
      </c>
    </row>
    <row r="88" spans="1:26" s="70" customFormat="1" ht="15" hidden="1" customHeight="1" outlineLevel="2" x14ac:dyDescent="0.3">
      <c r="A88" s="26"/>
      <c r="B88" s="12" t="str">
        <f>CONCATENATE("          ","6010"," - ","GRATUITY")</f>
        <v xml:space="preserve">          6010 - GRATUITY</v>
      </c>
      <c r="C88" s="12"/>
      <c r="D88" s="7"/>
      <c r="E88" s="3"/>
      <c r="F88" s="8">
        <f t="shared" si="12"/>
        <v>0</v>
      </c>
      <c r="G88" s="3"/>
      <c r="H88" s="7">
        <v>0</v>
      </c>
      <c r="I88" s="3"/>
      <c r="J88" s="8">
        <f t="shared" si="13"/>
        <v>0</v>
      </c>
      <c r="K88" s="3"/>
      <c r="L88" s="7">
        <f t="shared" si="14"/>
        <v>0</v>
      </c>
      <c r="M88" s="3"/>
      <c r="N88" s="8">
        <f t="shared" si="15"/>
        <v>0</v>
      </c>
      <c r="O88" s="12"/>
      <c r="P88" s="7"/>
      <c r="Q88" s="3"/>
      <c r="R88" s="8">
        <f t="shared" si="16"/>
        <v>0</v>
      </c>
      <c r="S88" s="3"/>
      <c r="T88" s="7">
        <v>0</v>
      </c>
      <c r="U88" s="3"/>
      <c r="V88" s="8">
        <f t="shared" si="17"/>
        <v>0</v>
      </c>
      <c r="W88" s="3"/>
      <c r="X88" s="7">
        <f t="shared" si="18"/>
        <v>0</v>
      </c>
      <c r="Y88" s="3"/>
      <c r="Z88" s="8">
        <f t="shared" si="19"/>
        <v>0</v>
      </c>
    </row>
    <row r="89" spans="1:26" s="69" customFormat="1" ht="15" customHeight="1" outlineLevel="1" collapsed="1" x14ac:dyDescent="0.3">
      <c r="A89" s="25"/>
      <c r="B89" s="14" t="str">
        <f>CONCATENATE("     ","Advertising/Promo                                 ")</f>
        <v xml:space="preserve">     Advertising/Promo                                 </v>
      </c>
      <c r="C89" s="14"/>
      <c r="D89" s="2">
        <f>SUM(OSRRefD22_2x_0)</f>
        <v>4021.81</v>
      </c>
      <c r="E89" s="2"/>
      <c r="F89" s="6">
        <f t="shared" si="12"/>
        <v>1.2022861400058219E-3</v>
      </c>
      <c r="G89" s="2"/>
      <c r="H89" s="2">
        <f>SUM(OSRRefH22_2x_0)</f>
        <v>1919</v>
      </c>
      <c r="I89" s="2"/>
      <c r="J89" s="6">
        <f t="shared" si="13"/>
        <v>8.8810316621042813E-4</v>
      </c>
      <c r="K89" s="2"/>
      <c r="L89" s="2">
        <f t="shared" si="14"/>
        <v>2102.81</v>
      </c>
      <c r="M89" s="2"/>
      <c r="N89" s="6">
        <f t="shared" si="15"/>
        <v>1.09578426263679</v>
      </c>
      <c r="O89" s="14"/>
      <c r="P89" s="2">
        <f>SUM(OSRRefP22_2x_0)</f>
        <v>19245.02</v>
      </c>
      <c r="Q89" s="2"/>
      <c r="R89" s="6">
        <f t="shared" si="16"/>
        <v>8.8038497891811606E-4</v>
      </c>
      <c r="S89" s="2"/>
      <c r="T89" s="2">
        <f>SUM(OSRRefT22_2x_0)</f>
        <v>22590</v>
      </c>
      <c r="U89" s="2"/>
      <c r="V89" s="6">
        <f t="shared" si="17"/>
        <v>1.0726385202963484E-3</v>
      </c>
      <c r="W89" s="2"/>
      <c r="X89" s="2">
        <f t="shared" si="18"/>
        <v>-3344.9799999999996</v>
      </c>
      <c r="Y89" s="2"/>
      <c r="Z89" s="6">
        <f t="shared" si="19"/>
        <v>-0.14807348384240812</v>
      </c>
    </row>
    <row r="90" spans="1:26" s="70" customFormat="1" ht="15" hidden="1" customHeight="1" outlineLevel="2" x14ac:dyDescent="0.3">
      <c r="A90" s="26"/>
      <c r="B90" s="12" t="str">
        <f>CONCATENATE("          ","6362"," - ","ADVERTISING EXPENSE")</f>
        <v xml:space="preserve">          6362 - ADVERTISING EXPENSE</v>
      </c>
      <c r="C90" s="12"/>
      <c r="D90" s="7">
        <v>4021.81</v>
      </c>
      <c r="E90" s="3"/>
      <c r="F90" s="8">
        <f t="shared" si="12"/>
        <v>1.2022861400058219E-3</v>
      </c>
      <c r="G90" s="3"/>
      <c r="H90" s="7">
        <v>1919</v>
      </c>
      <c r="I90" s="3"/>
      <c r="J90" s="8">
        <f t="shared" si="13"/>
        <v>8.8810316621042813E-4</v>
      </c>
      <c r="K90" s="3"/>
      <c r="L90" s="7">
        <f t="shared" si="14"/>
        <v>2102.81</v>
      </c>
      <c r="M90" s="3"/>
      <c r="N90" s="8">
        <f t="shared" si="15"/>
        <v>1.09578426263679</v>
      </c>
      <c r="O90" s="12"/>
      <c r="P90" s="7">
        <v>19245.02</v>
      </c>
      <c r="Q90" s="3"/>
      <c r="R90" s="8">
        <f t="shared" si="16"/>
        <v>8.8038497891811606E-4</v>
      </c>
      <c r="S90" s="3"/>
      <c r="T90" s="7">
        <v>22590</v>
      </c>
      <c r="U90" s="3"/>
      <c r="V90" s="8">
        <f t="shared" si="17"/>
        <v>1.0726385202963484E-3</v>
      </c>
      <c r="W90" s="3"/>
      <c r="X90" s="7">
        <f t="shared" si="18"/>
        <v>-3344.9799999999996</v>
      </c>
      <c r="Y90" s="3"/>
      <c r="Z90" s="8">
        <f t="shared" si="19"/>
        <v>-0.14807348384240812</v>
      </c>
    </row>
    <row r="91" spans="1:26" s="69" customFormat="1" ht="15" customHeight="1" outlineLevel="1" collapsed="1" x14ac:dyDescent="0.3">
      <c r="A91" s="25"/>
      <c r="B91" s="14" t="str">
        <f>CONCATENATE("     ","Bad Debts/Over/Short                              ")</f>
        <v xml:space="preserve">     Bad Debts/Over/Short                              </v>
      </c>
      <c r="C91" s="14"/>
      <c r="D91" s="2">
        <f>SUM(OSRRefD22_3x_0)</f>
        <v>-35.880000000000003</v>
      </c>
      <c r="E91" s="2"/>
      <c r="F91" s="6">
        <f t="shared" si="12"/>
        <v>-1.0726023035252508E-5</v>
      </c>
      <c r="G91" s="2"/>
      <c r="H91" s="2">
        <f>SUM(OSRRefH22_3x_0)</f>
        <v>278</v>
      </c>
      <c r="I91" s="2"/>
      <c r="J91" s="6">
        <f t="shared" si="13"/>
        <v>1.286569464338192E-4</v>
      </c>
      <c r="K91" s="2"/>
      <c r="L91" s="2">
        <f t="shared" si="14"/>
        <v>-313.88</v>
      </c>
      <c r="M91" s="2"/>
      <c r="N91" s="6">
        <f t="shared" si="15"/>
        <v>-1.1290647482014389</v>
      </c>
      <c r="O91" s="14"/>
      <c r="P91" s="2">
        <f>SUM(OSRRefP22_3x_0)</f>
        <v>-19.190000000000001</v>
      </c>
      <c r="Q91" s="2"/>
      <c r="R91" s="6">
        <f t="shared" si="16"/>
        <v>-8.7786802743975574E-7</v>
      </c>
      <c r="S91" s="2"/>
      <c r="T91" s="2">
        <f>SUM(OSRRefT22_3x_0)</f>
        <v>2732</v>
      </c>
      <c r="U91" s="2"/>
      <c r="V91" s="6">
        <f t="shared" si="17"/>
        <v>1.2972325973659247E-4</v>
      </c>
      <c r="W91" s="2"/>
      <c r="X91" s="2">
        <f t="shared" si="18"/>
        <v>-2751.19</v>
      </c>
      <c r="Y91" s="2"/>
      <c r="Z91" s="6">
        <f t="shared" si="19"/>
        <v>-1.0070241581259152</v>
      </c>
    </row>
    <row r="92" spans="1:26" s="70" customFormat="1" ht="15" hidden="1" customHeight="1" outlineLevel="2" x14ac:dyDescent="0.3">
      <c r="A92" s="26"/>
      <c r="B92" s="12" t="str">
        <f>CONCATENATE("          ","6272"," - ","CASH (OVER/SHORT)")</f>
        <v xml:space="preserve">          6272 - CASH (OVER/SHORT)</v>
      </c>
      <c r="C92" s="12"/>
      <c r="D92" s="7">
        <v>-35.880000000000003</v>
      </c>
      <c r="E92" s="3"/>
      <c r="F92" s="8">
        <f t="shared" si="12"/>
        <v>-1.0726023035252508E-5</v>
      </c>
      <c r="G92" s="3"/>
      <c r="H92" s="7">
        <v>278</v>
      </c>
      <c r="I92" s="3"/>
      <c r="J92" s="8">
        <f t="shared" si="13"/>
        <v>1.286569464338192E-4</v>
      </c>
      <c r="K92" s="3"/>
      <c r="L92" s="7">
        <f t="shared" si="14"/>
        <v>-313.88</v>
      </c>
      <c r="M92" s="3"/>
      <c r="N92" s="8">
        <f t="shared" si="15"/>
        <v>-1.1290647482014389</v>
      </c>
      <c r="O92" s="12"/>
      <c r="P92" s="7">
        <v>-19.190000000000001</v>
      </c>
      <c r="Q92" s="3"/>
      <c r="R92" s="8">
        <f t="shared" si="16"/>
        <v>-8.7786802743975574E-7</v>
      </c>
      <c r="S92" s="3"/>
      <c r="T92" s="7">
        <v>2732</v>
      </c>
      <c r="U92" s="3"/>
      <c r="V92" s="8">
        <f t="shared" si="17"/>
        <v>1.2972325973659247E-4</v>
      </c>
      <c r="W92" s="3"/>
      <c r="X92" s="7">
        <f t="shared" si="18"/>
        <v>-2751.19</v>
      </c>
      <c r="Y92" s="3"/>
      <c r="Z92" s="8">
        <f t="shared" si="19"/>
        <v>-1.0070241581259152</v>
      </c>
    </row>
    <row r="93" spans="1:26" s="69" customFormat="1" ht="15" customHeight="1" outlineLevel="1" collapsed="1" x14ac:dyDescent="0.3">
      <c r="A93" s="25"/>
      <c r="B93" s="14" t="str">
        <f>CONCATENATE("     ","Bank/card Fees                                    ")</f>
        <v xml:space="preserve">     Bank/card Fees                                    </v>
      </c>
      <c r="C93" s="14"/>
      <c r="D93" s="2">
        <f>SUM(OSRRefD22_4x_0)</f>
        <v>28954.61</v>
      </c>
      <c r="E93" s="2"/>
      <c r="F93" s="6">
        <f t="shared" si="12"/>
        <v>8.6557361715928829E-3</v>
      </c>
      <c r="G93" s="2"/>
      <c r="H93" s="2">
        <f>SUM(OSRRefH22_4x_0)</f>
        <v>32961.25</v>
      </c>
      <c r="I93" s="2"/>
      <c r="J93" s="6">
        <f t="shared" si="13"/>
        <v>1.5254294156984614E-2</v>
      </c>
      <c r="K93" s="2"/>
      <c r="L93" s="2">
        <f t="shared" si="14"/>
        <v>-4006.6399999999994</v>
      </c>
      <c r="M93" s="2"/>
      <c r="N93" s="6">
        <f t="shared" si="15"/>
        <v>-0.12155606962721376</v>
      </c>
      <c r="O93" s="14"/>
      <c r="P93" s="2">
        <f>SUM(OSRRefP22_4x_0)</f>
        <v>197883.68</v>
      </c>
      <c r="Q93" s="2"/>
      <c r="R93" s="6">
        <f t="shared" si="16"/>
        <v>9.0524104129296422E-3</v>
      </c>
      <c r="S93" s="2"/>
      <c r="T93" s="2">
        <f>SUM(OSRRefT22_4x_0)</f>
        <v>286763.75</v>
      </c>
      <c r="U93" s="2"/>
      <c r="V93" s="6">
        <f t="shared" si="17"/>
        <v>1.3616372044029745E-2</v>
      </c>
      <c r="W93" s="2"/>
      <c r="X93" s="2">
        <f t="shared" si="18"/>
        <v>-88880.07</v>
      </c>
      <c r="Y93" s="2"/>
      <c r="Z93" s="6">
        <f t="shared" si="19"/>
        <v>-0.30994179006237715</v>
      </c>
    </row>
    <row r="94" spans="1:26" s="70" customFormat="1" ht="15" hidden="1" customHeight="1" outlineLevel="2" x14ac:dyDescent="0.3">
      <c r="A94" s="26"/>
      <c r="B94" s="12" t="str">
        <f>CONCATENATE("          ","6381"," - ","BANK/CREDIT CARD FEES")</f>
        <v xml:space="preserve">          6381 - BANK/CREDIT CARD FEES</v>
      </c>
      <c r="C94" s="12"/>
      <c r="D94" s="7">
        <v>28954.61</v>
      </c>
      <c r="E94" s="3"/>
      <c r="F94" s="8">
        <f t="shared" si="12"/>
        <v>8.6557361715928829E-3</v>
      </c>
      <c r="G94" s="3"/>
      <c r="H94" s="7">
        <v>32961.25</v>
      </c>
      <c r="I94" s="3"/>
      <c r="J94" s="8">
        <f t="shared" si="13"/>
        <v>1.5254294156984614E-2</v>
      </c>
      <c r="K94" s="3"/>
      <c r="L94" s="7">
        <f t="shared" si="14"/>
        <v>-4006.6399999999994</v>
      </c>
      <c r="M94" s="3"/>
      <c r="N94" s="8">
        <f t="shared" si="15"/>
        <v>-0.12155606962721376</v>
      </c>
      <c r="O94" s="12"/>
      <c r="P94" s="7">
        <v>197883.68</v>
      </c>
      <c r="Q94" s="3"/>
      <c r="R94" s="8">
        <f t="shared" si="16"/>
        <v>9.0524104129296422E-3</v>
      </c>
      <c r="S94" s="3"/>
      <c r="T94" s="7">
        <v>286763.75</v>
      </c>
      <c r="U94" s="3"/>
      <c r="V94" s="8">
        <f t="shared" si="17"/>
        <v>1.3616372044029745E-2</v>
      </c>
      <c r="W94" s="3"/>
      <c r="X94" s="7">
        <f t="shared" si="18"/>
        <v>-88880.07</v>
      </c>
      <c r="Y94" s="3"/>
      <c r="Z94" s="8">
        <f t="shared" si="19"/>
        <v>-0.30994179006237715</v>
      </c>
    </row>
    <row r="95" spans="1:26" s="69" customFormat="1" ht="15" customHeight="1" outlineLevel="1" collapsed="1" x14ac:dyDescent="0.3">
      <c r="A95" s="25"/>
      <c r="B95" s="14" t="str">
        <f>CONCATENATE("     ","Depreciation                                      ")</f>
        <v xml:space="preserve">     Depreciation                                      </v>
      </c>
      <c r="C95" s="14"/>
      <c r="D95" s="2">
        <f>SUM(OSRRefD22_5x_0)</f>
        <v>59823</v>
      </c>
      <c r="E95" s="2"/>
      <c r="F95" s="6">
        <f t="shared" si="12"/>
        <v>1.7883580714546009E-2</v>
      </c>
      <c r="G95" s="2"/>
      <c r="H95" s="2">
        <f>SUM(OSRRefH22_5x_0)</f>
        <v>55277</v>
      </c>
      <c r="I95" s="2"/>
      <c r="J95" s="6">
        <f t="shared" si="13"/>
        <v>2.5581906575619508E-2</v>
      </c>
      <c r="K95" s="2"/>
      <c r="L95" s="2">
        <f t="shared" si="14"/>
        <v>4546</v>
      </c>
      <c r="M95" s="2"/>
      <c r="N95" s="6">
        <f t="shared" si="15"/>
        <v>8.2240353130596813E-2</v>
      </c>
      <c r="O95" s="14"/>
      <c r="P95" s="2">
        <f>SUM(OSRRefP22_5x_0)</f>
        <v>690530.7</v>
      </c>
      <c r="Q95" s="2"/>
      <c r="R95" s="6">
        <f t="shared" si="16"/>
        <v>3.1589099713162774E-2</v>
      </c>
      <c r="S95" s="2"/>
      <c r="T95" s="2">
        <f>SUM(OSRRefT22_5x_0)</f>
        <v>679905</v>
      </c>
      <c r="U95" s="2"/>
      <c r="V95" s="6">
        <f t="shared" si="17"/>
        <v>3.2283855384775947E-2</v>
      </c>
      <c r="W95" s="2"/>
      <c r="X95" s="2">
        <f t="shared" si="18"/>
        <v>10625.699999999953</v>
      </c>
      <c r="Y95" s="2"/>
      <c r="Z95" s="6">
        <f t="shared" si="19"/>
        <v>1.5628212765018575E-2</v>
      </c>
    </row>
    <row r="96" spans="1:26" s="70" customFormat="1" ht="15" hidden="1" customHeight="1" outlineLevel="2" x14ac:dyDescent="0.3">
      <c r="A96" s="26"/>
      <c r="B96" s="12" t="str">
        <f>CONCATENATE("          ","6321"," - ","BUILDING DEPRECIATION")</f>
        <v xml:space="preserve">          6321 - BUILDING DEPRECIATION</v>
      </c>
      <c r="C96" s="12"/>
      <c r="D96" s="7">
        <v>41941.620000000003</v>
      </c>
      <c r="E96" s="3"/>
      <c r="F96" s="8">
        <f t="shared" si="12"/>
        <v>1.2538093150942233E-2</v>
      </c>
      <c r="G96" s="3"/>
      <c r="H96" s="7"/>
      <c r="I96" s="3"/>
      <c r="J96" s="8">
        <f t="shared" si="13"/>
        <v>0</v>
      </c>
      <c r="K96" s="3"/>
      <c r="L96" s="7">
        <f t="shared" si="14"/>
        <v>41941.620000000003</v>
      </c>
      <c r="M96" s="3"/>
      <c r="N96" s="8">
        <f t="shared" si="15"/>
        <v>0</v>
      </c>
      <c r="O96" s="12"/>
      <c r="P96" s="7">
        <v>438763.08</v>
      </c>
      <c r="Q96" s="3"/>
      <c r="R96" s="8">
        <f t="shared" si="16"/>
        <v>2.0071708158050639E-2</v>
      </c>
      <c r="S96" s="3"/>
      <c r="T96" s="7"/>
      <c r="U96" s="3"/>
      <c r="V96" s="8">
        <f t="shared" si="17"/>
        <v>0</v>
      </c>
      <c r="W96" s="3"/>
      <c r="X96" s="7">
        <f t="shared" si="18"/>
        <v>438763.08</v>
      </c>
      <c r="Y96" s="3"/>
      <c r="Z96" s="8">
        <f t="shared" si="19"/>
        <v>0</v>
      </c>
    </row>
    <row r="97" spans="1:26" s="70" customFormat="1" ht="15" hidden="1" customHeight="1" outlineLevel="2" x14ac:dyDescent="0.3">
      <c r="A97" s="26"/>
      <c r="B97" s="12" t="str">
        <f>CONCATENATE("          ","6322"," - ","EQUIPMENT DEPRECIATION EXPENSE")</f>
        <v xml:space="preserve">          6322 - EQUIPMENT DEPRECIATION EXPENSE</v>
      </c>
      <c r="C97" s="12"/>
      <c r="D97" s="7">
        <v>17881.38</v>
      </c>
      <c r="E97" s="3"/>
      <c r="F97" s="8">
        <f t="shared" si="12"/>
        <v>5.3454875636037768E-3</v>
      </c>
      <c r="G97" s="3"/>
      <c r="H97" s="7">
        <v>55277</v>
      </c>
      <c r="I97" s="3"/>
      <c r="J97" s="8">
        <f t="shared" si="13"/>
        <v>2.5581906575619508E-2</v>
      </c>
      <c r="K97" s="3"/>
      <c r="L97" s="7">
        <f t="shared" si="14"/>
        <v>-37395.619999999995</v>
      </c>
      <c r="M97" s="3"/>
      <c r="N97" s="8">
        <f t="shared" si="15"/>
        <v>-0.67651319717061342</v>
      </c>
      <c r="O97" s="12"/>
      <c r="P97" s="7">
        <v>251767.62</v>
      </c>
      <c r="Q97" s="3"/>
      <c r="R97" s="8">
        <f t="shared" si="16"/>
        <v>1.151739155511214E-2</v>
      </c>
      <c r="S97" s="3"/>
      <c r="T97" s="7">
        <v>679905</v>
      </c>
      <c r="U97" s="3"/>
      <c r="V97" s="8">
        <f t="shared" si="17"/>
        <v>3.2283855384775947E-2</v>
      </c>
      <c r="W97" s="3"/>
      <c r="X97" s="7">
        <f t="shared" si="18"/>
        <v>-428137.38</v>
      </c>
      <c r="Y97" s="3"/>
      <c r="Z97" s="8">
        <f t="shared" si="19"/>
        <v>-0.62970176715864712</v>
      </c>
    </row>
    <row r="98" spans="1:26" s="69" customFormat="1" ht="15" customHeight="1" outlineLevel="1" collapsed="1" x14ac:dyDescent="0.3">
      <c r="A98" s="25"/>
      <c r="B98" s="14" t="str">
        <f>CONCATENATE("     ","Discounts and Markdowns                           ")</f>
        <v xml:space="preserve">     Discounts and Markdowns                           </v>
      </c>
      <c r="C98" s="14"/>
      <c r="D98" s="2">
        <f>SUM(OSRRefD22_6x_0)</f>
        <v>-50.18</v>
      </c>
      <c r="E98" s="2"/>
      <c r="F98" s="6">
        <f t="shared" ref="F98:F129" si="20">IF(D$12=0,0,D98/D$12)</f>
        <v>-1.5000887288432855E-5</v>
      </c>
      <c r="G98" s="2"/>
      <c r="H98" s="2">
        <f>SUM(OSRRefH22_6x_0)</f>
        <v>0</v>
      </c>
      <c r="I98" s="2"/>
      <c r="J98" s="6">
        <f t="shared" ref="J98:J129" si="21">IF(H$12=0,0,H98/H$12)</f>
        <v>0</v>
      </c>
      <c r="K98" s="2"/>
      <c r="L98" s="2">
        <f t="shared" ref="L98:L129" si="22">+D98-H98</f>
        <v>-50.18</v>
      </c>
      <c r="M98" s="2"/>
      <c r="N98" s="6">
        <f t="shared" ref="N98:N129" si="23">IF(H98=0,0,L98/H98)</f>
        <v>0</v>
      </c>
      <c r="O98" s="14"/>
      <c r="P98" s="2">
        <f>SUM(OSRRefP22_6x_0)</f>
        <v>2006.6499999999999</v>
      </c>
      <c r="Q98" s="2"/>
      <c r="R98" s="6">
        <f t="shared" ref="R98:R129" si="24">IF(P$12=0,0,P98/P$12)</f>
        <v>9.1796450091817915E-5</v>
      </c>
      <c r="S98" s="2"/>
      <c r="T98" s="2">
        <f>SUM(OSRRefT22_6x_0)</f>
        <v>0</v>
      </c>
      <c r="U98" s="2"/>
      <c r="V98" s="6">
        <f t="shared" ref="V98:V129" si="25">IF(T$12=0,0,T98/T$12)</f>
        <v>0</v>
      </c>
      <c r="W98" s="2"/>
      <c r="X98" s="2">
        <f t="shared" ref="X98:X129" si="26">+P98-T98</f>
        <v>2006.6499999999999</v>
      </c>
      <c r="Y98" s="2"/>
      <c r="Z98" s="6">
        <f t="shared" ref="Z98:Z129" si="27">IF(T98=0,0,X98/T98)</f>
        <v>0</v>
      </c>
    </row>
    <row r="99" spans="1:26" s="70" customFormat="1" ht="15" hidden="1" customHeight="1" outlineLevel="2" x14ac:dyDescent="0.3">
      <c r="A99" s="26"/>
      <c r="B99" s="12" t="str">
        <f>CONCATENATE("          ","6382"," - ","DISCOUNTS/MARK DOWNS")</f>
        <v xml:space="preserve">          6382 - DISCOUNTS/MARK DOWNS</v>
      </c>
      <c r="C99" s="12"/>
      <c r="D99" s="7"/>
      <c r="E99" s="3"/>
      <c r="F99" s="8">
        <f t="shared" si="20"/>
        <v>0</v>
      </c>
      <c r="G99" s="3"/>
      <c r="H99" s="7"/>
      <c r="I99" s="3"/>
      <c r="J99" s="8">
        <f t="shared" si="21"/>
        <v>0</v>
      </c>
      <c r="K99" s="3"/>
      <c r="L99" s="7">
        <f t="shared" si="22"/>
        <v>0</v>
      </c>
      <c r="M99" s="3"/>
      <c r="N99" s="8">
        <f t="shared" si="23"/>
        <v>0</v>
      </c>
      <c r="O99" s="12"/>
      <c r="P99" s="7">
        <v>2171.35</v>
      </c>
      <c r="Q99" s="3"/>
      <c r="R99" s="8">
        <f t="shared" si="24"/>
        <v>9.9330835923987148E-5</v>
      </c>
      <c r="S99" s="3"/>
      <c r="T99" s="7">
        <v>0</v>
      </c>
      <c r="U99" s="3"/>
      <c r="V99" s="8">
        <f t="shared" si="25"/>
        <v>0</v>
      </c>
      <c r="W99" s="3"/>
      <c r="X99" s="7">
        <f t="shared" si="26"/>
        <v>2171.35</v>
      </c>
      <c r="Y99" s="3"/>
      <c r="Z99" s="8">
        <f t="shared" si="27"/>
        <v>0</v>
      </c>
    </row>
    <row r="100" spans="1:26" s="70" customFormat="1" ht="15" hidden="1" customHeight="1" outlineLevel="2" x14ac:dyDescent="0.3">
      <c r="A100" s="26"/>
      <c r="B100" s="12" t="str">
        <f>CONCATENATE("          ","9175"," - ","EARNED DISCOUNTS")</f>
        <v xml:space="preserve">          9175 - EARNED DISCOUNTS</v>
      </c>
      <c r="C100" s="12"/>
      <c r="D100" s="7">
        <v>-50.18</v>
      </c>
      <c r="E100" s="3"/>
      <c r="F100" s="8">
        <f t="shared" si="20"/>
        <v>-1.5000887288432855E-5</v>
      </c>
      <c r="G100" s="3"/>
      <c r="H100" s="7"/>
      <c r="I100" s="3"/>
      <c r="J100" s="8">
        <f t="shared" si="21"/>
        <v>0</v>
      </c>
      <c r="K100" s="3"/>
      <c r="L100" s="7">
        <f t="shared" si="22"/>
        <v>-50.18</v>
      </c>
      <c r="M100" s="3"/>
      <c r="N100" s="8">
        <f t="shared" si="23"/>
        <v>0</v>
      </c>
      <c r="O100" s="12"/>
      <c r="P100" s="7">
        <v>-164.7</v>
      </c>
      <c r="Q100" s="3"/>
      <c r="R100" s="8">
        <f t="shared" si="24"/>
        <v>-7.5343858321692419E-6</v>
      </c>
      <c r="S100" s="3"/>
      <c r="T100" s="7"/>
      <c r="U100" s="3"/>
      <c r="V100" s="8">
        <f t="shared" si="25"/>
        <v>0</v>
      </c>
      <c r="W100" s="3"/>
      <c r="X100" s="7">
        <f t="shared" si="26"/>
        <v>-164.7</v>
      </c>
      <c r="Y100" s="3"/>
      <c r="Z100" s="8">
        <f t="shared" si="27"/>
        <v>0</v>
      </c>
    </row>
    <row r="101" spans="1:26" s="69" customFormat="1" ht="15" customHeight="1" outlineLevel="1" collapsed="1" x14ac:dyDescent="0.3">
      <c r="A101" s="25"/>
      <c r="B101" s="14" t="str">
        <f>CONCATENATE("     ","Donations                                         ")</f>
        <v xml:space="preserve">     Donations                                         </v>
      </c>
      <c r="C101" s="14"/>
      <c r="D101" s="2">
        <f>SUM(OSRRefD22_7x_0)</f>
        <v>11144.67</v>
      </c>
      <c r="E101" s="2"/>
      <c r="F101" s="6">
        <f t="shared" si="20"/>
        <v>3.3316049927616378E-3</v>
      </c>
      <c r="G101" s="2"/>
      <c r="H101" s="2">
        <f>SUM(OSRRefH22_7x_0)</f>
        <v>16750</v>
      </c>
      <c r="I101" s="2"/>
      <c r="J101" s="6">
        <f t="shared" si="21"/>
        <v>7.7518124200232786E-3</v>
      </c>
      <c r="K101" s="2"/>
      <c r="L101" s="2">
        <f t="shared" si="22"/>
        <v>-5605.33</v>
      </c>
      <c r="M101" s="2"/>
      <c r="N101" s="6">
        <f t="shared" si="23"/>
        <v>-0.33464656716417912</v>
      </c>
      <c r="O101" s="14"/>
      <c r="P101" s="2">
        <f>SUM(OSRRefP22_7x_0)</f>
        <v>73998.070000000007</v>
      </c>
      <c r="Q101" s="2"/>
      <c r="R101" s="6">
        <f t="shared" si="24"/>
        <v>3.3851245307581538E-3</v>
      </c>
      <c r="S101" s="2"/>
      <c r="T101" s="2">
        <f>SUM(OSRRefT22_7x_0)</f>
        <v>152000</v>
      </c>
      <c r="U101" s="2"/>
      <c r="V101" s="6">
        <f t="shared" si="25"/>
        <v>7.2173995168235919E-3</v>
      </c>
      <c r="W101" s="2"/>
      <c r="X101" s="2">
        <f t="shared" si="26"/>
        <v>-78001.929999999993</v>
      </c>
      <c r="Y101" s="2"/>
      <c r="Z101" s="6">
        <f t="shared" si="27"/>
        <v>-0.51317059210526306</v>
      </c>
    </row>
    <row r="102" spans="1:26" s="70" customFormat="1" ht="15" hidden="1" customHeight="1" outlineLevel="2" x14ac:dyDescent="0.3">
      <c r="A102" s="26"/>
      <c r="B102" s="12" t="str">
        <f>CONCATENATE("          ","6399"," - ","DONATION-ON CAMPUS")</f>
        <v xml:space="preserve">          6399 - DONATION-ON CAMPUS</v>
      </c>
      <c r="C102" s="12"/>
      <c r="D102" s="7">
        <v>11144.67</v>
      </c>
      <c r="E102" s="3"/>
      <c r="F102" s="8">
        <f t="shared" si="20"/>
        <v>3.3316049927616378E-3</v>
      </c>
      <c r="G102" s="3"/>
      <c r="H102" s="7">
        <v>16750</v>
      </c>
      <c r="I102" s="3"/>
      <c r="J102" s="8">
        <f t="shared" si="21"/>
        <v>7.7518124200232786E-3</v>
      </c>
      <c r="K102" s="3"/>
      <c r="L102" s="7">
        <f t="shared" si="22"/>
        <v>-5605.33</v>
      </c>
      <c r="M102" s="3"/>
      <c r="N102" s="8">
        <f t="shared" si="23"/>
        <v>-0.33464656716417912</v>
      </c>
      <c r="O102" s="12"/>
      <c r="P102" s="7">
        <v>73998.070000000007</v>
      </c>
      <c r="Q102" s="3"/>
      <c r="R102" s="8">
        <f t="shared" si="24"/>
        <v>3.3851245307581538E-3</v>
      </c>
      <c r="S102" s="3"/>
      <c r="T102" s="7">
        <v>152000</v>
      </c>
      <c r="U102" s="3"/>
      <c r="V102" s="8">
        <f t="shared" si="25"/>
        <v>7.2173995168235919E-3</v>
      </c>
      <c r="W102" s="3"/>
      <c r="X102" s="7">
        <f t="shared" si="26"/>
        <v>-78001.929999999993</v>
      </c>
      <c r="Y102" s="3"/>
      <c r="Z102" s="8">
        <f t="shared" si="27"/>
        <v>-0.51317059210526306</v>
      </c>
    </row>
    <row r="103" spans="1:26" s="69" customFormat="1" ht="15" customHeight="1" outlineLevel="1" collapsed="1" x14ac:dyDescent="0.3">
      <c r="A103" s="25"/>
      <c r="B103" s="14" t="str">
        <f>CONCATENATE("     ","Employees' Appreciation                           ")</f>
        <v xml:space="preserve">     Employees' Appreciation                           </v>
      </c>
      <c r="C103" s="14"/>
      <c r="D103" s="2">
        <f>SUM(OSRRefD22_8x_0)</f>
        <v>61.45</v>
      </c>
      <c r="E103" s="2"/>
      <c r="F103" s="6">
        <f t="shared" si="20"/>
        <v>1.8369958626428837E-5</v>
      </c>
      <c r="G103" s="2"/>
      <c r="H103" s="2">
        <f>SUM(OSRRefH22_8x_0)</f>
        <v>485</v>
      </c>
      <c r="I103" s="2"/>
      <c r="J103" s="6">
        <f t="shared" si="21"/>
        <v>2.2445546410216656E-4</v>
      </c>
      <c r="K103" s="2"/>
      <c r="L103" s="2">
        <f t="shared" si="22"/>
        <v>-423.55</v>
      </c>
      <c r="M103" s="2"/>
      <c r="N103" s="6">
        <f t="shared" si="23"/>
        <v>-0.87329896907216498</v>
      </c>
      <c r="O103" s="14"/>
      <c r="P103" s="2">
        <f>SUM(OSRRefP22_8x_0)</f>
        <v>5021.91</v>
      </c>
      <c r="Q103" s="2"/>
      <c r="R103" s="6">
        <f t="shared" si="24"/>
        <v>2.2973289346951451E-4</v>
      </c>
      <c r="S103" s="2"/>
      <c r="T103" s="2">
        <f>SUM(OSRRefT22_8x_0)</f>
        <v>5490</v>
      </c>
      <c r="U103" s="2"/>
      <c r="V103" s="6">
        <f t="shared" si="25"/>
        <v>2.6068107465369422E-4</v>
      </c>
      <c r="W103" s="2"/>
      <c r="X103" s="2">
        <f t="shared" si="26"/>
        <v>-468.09000000000015</v>
      </c>
      <c r="Y103" s="2"/>
      <c r="Z103" s="6">
        <f t="shared" si="27"/>
        <v>-8.526229508196724E-2</v>
      </c>
    </row>
    <row r="104" spans="1:26" s="70" customFormat="1" ht="15" hidden="1" customHeight="1" outlineLevel="2" x14ac:dyDescent="0.3">
      <c r="A104" s="26"/>
      <c r="B104" s="12" t="str">
        <f>CONCATENATE("          ","6277"," - ","EMPLOYEE APPRECIATION")</f>
        <v xml:space="preserve">          6277 - EMPLOYEE APPRECIATION</v>
      </c>
      <c r="C104" s="12"/>
      <c r="D104" s="7">
        <v>61.45</v>
      </c>
      <c r="E104" s="3"/>
      <c r="F104" s="8">
        <f t="shared" si="20"/>
        <v>1.8369958626428837E-5</v>
      </c>
      <c r="G104" s="3"/>
      <c r="H104" s="7">
        <v>485</v>
      </c>
      <c r="I104" s="3"/>
      <c r="J104" s="8">
        <f t="shared" si="21"/>
        <v>2.2445546410216656E-4</v>
      </c>
      <c r="K104" s="3"/>
      <c r="L104" s="7">
        <f t="shared" si="22"/>
        <v>-423.55</v>
      </c>
      <c r="M104" s="3"/>
      <c r="N104" s="8">
        <f t="shared" si="23"/>
        <v>-0.87329896907216498</v>
      </c>
      <c r="O104" s="12"/>
      <c r="P104" s="7">
        <v>5021.91</v>
      </c>
      <c r="Q104" s="3"/>
      <c r="R104" s="8">
        <f t="shared" si="24"/>
        <v>2.2973289346951451E-4</v>
      </c>
      <c r="S104" s="3"/>
      <c r="T104" s="7">
        <v>5490</v>
      </c>
      <c r="U104" s="3"/>
      <c r="V104" s="8">
        <f t="shared" si="25"/>
        <v>2.6068107465369422E-4</v>
      </c>
      <c r="W104" s="3"/>
      <c r="X104" s="7">
        <f t="shared" si="26"/>
        <v>-468.09000000000015</v>
      </c>
      <c r="Y104" s="3"/>
      <c r="Z104" s="8">
        <f t="shared" si="27"/>
        <v>-8.526229508196724E-2</v>
      </c>
    </row>
    <row r="105" spans="1:26" s="69" customFormat="1" ht="15" customHeight="1" outlineLevel="1" collapsed="1" x14ac:dyDescent="0.3">
      <c r="A105" s="25"/>
      <c r="B105" s="14" t="str">
        <f>CONCATENATE("     ","Equipment Rental                                  ")</f>
        <v xml:space="preserve">     Equipment Rental                                  </v>
      </c>
      <c r="C105" s="14"/>
      <c r="D105" s="2">
        <f>SUM(OSRRefD22_9x_0)</f>
        <v>4544.05</v>
      </c>
      <c r="E105" s="2"/>
      <c r="F105" s="6">
        <f t="shared" si="20"/>
        <v>1.3584053782981929E-3</v>
      </c>
      <c r="G105" s="2"/>
      <c r="H105" s="2">
        <f>SUM(OSRRefH22_9x_0)</f>
        <v>3446</v>
      </c>
      <c r="I105" s="2"/>
      <c r="J105" s="6">
        <f t="shared" si="21"/>
        <v>1.5947907820537443E-3</v>
      </c>
      <c r="K105" s="2"/>
      <c r="L105" s="2">
        <f t="shared" si="22"/>
        <v>1098.0500000000002</v>
      </c>
      <c r="M105" s="2"/>
      <c r="N105" s="6">
        <f t="shared" si="23"/>
        <v>0.31864480557167735</v>
      </c>
      <c r="O105" s="14"/>
      <c r="P105" s="2">
        <f>SUM(OSRRefP22_9x_0)</f>
        <v>36626.910000000003</v>
      </c>
      <c r="Q105" s="2"/>
      <c r="R105" s="6">
        <f t="shared" si="24"/>
        <v>1.6755389907719368E-3</v>
      </c>
      <c r="S105" s="2"/>
      <c r="T105" s="2">
        <f>SUM(OSRRefT22_9x_0)</f>
        <v>34260</v>
      </c>
      <c r="U105" s="2"/>
      <c r="V105" s="6">
        <f t="shared" si="25"/>
        <v>1.6267638647787911E-3</v>
      </c>
      <c r="W105" s="2"/>
      <c r="X105" s="2">
        <f t="shared" si="26"/>
        <v>2366.9100000000035</v>
      </c>
      <c r="Y105" s="2"/>
      <c r="Z105" s="6">
        <f t="shared" si="27"/>
        <v>6.9086690017513233E-2</v>
      </c>
    </row>
    <row r="106" spans="1:26" s="70" customFormat="1" ht="15" hidden="1" customHeight="1" outlineLevel="2" x14ac:dyDescent="0.3">
      <c r="A106" s="26"/>
      <c r="B106" s="12" t="str">
        <f>CONCATENATE("          ","6351"," - ","EQUIPMENT RENTAL")</f>
        <v xml:space="preserve">          6351 - EQUIPMENT RENTAL</v>
      </c>
      <c r="C106" s="12"/>
      <c r="D106" s="7">
        <v>4544.05</v>
      </c>
      <c r="E106" s="3"/>
      <c r="F106" s="8">
        <f t="shared" si="20"/>
        <v>1.3584053782981929E-3</v>
      </c>
      <c r="G106" s="3"/>
      <c r="H106" s="7">
        <v>3446</v>
      </c>
      <c r="I106" s="3"/>
      <c r="J106" s="8">
        <f t="shared" si="21"/>
        <v>1.5947907820537443E-3</v>
      </c>
      <c r="K106" s="3"/>
      <c r="L106" s="7">
        <f t="shared" si="22"/>
        <v>1098.0500000000002</v>
      </c>
      <c r="M106" s="3"/>
      <c r="N106" s="8">
        <f t="shared" si="23"/>
        <v>0.31864480557167735</v>
      </c>
      <c r="O106" s="12"/>
      <c r="P106" s="7">
        <v>36626.910000000003</v>
      </c>
      <c r="Q106" s="3"/>
      <c r="R106" s="8">
        <f t="shared" si="24"/>
        <v>1.6755389907719368E-3</v>
      </c>
      <c r="S106" s="3"/>
      <c r="T106" s="7">
        <v>34260</v>
      </c>
      <c r="U106" s="3"/>
      <c r="V106" s="8">
        <f t="shared" si="25"/>
        <v>1.6267638647787911E-3</v>
      </c>
      <c r="W106" s="3"/>
      <c r="X106" s="7">
        <f t="shared" si="26"/>
        <v>2366.9100000000035</v>
      </c>
      <c r="Y106" s="3"/>
      <c r="Z106" s="8">
        <f t="shared" si="27"/>
        <v>6.9086690017513233E-2</v>
      </c>
    </row>
    <row r="107" spans="1:26" s="69" customFormat="1" ht="15" customHeight="1" outlineLevel="1" collapsed="1" x14ac:dyDescent="0.3">
      <c r="A107" s="25"/>
      <c r="B107" s="14" t="str">
        <f>CONCATENATE("     ","Freight out/Postage                               ")</f>
        <v xml:space="preserve">     Freight out/Postage                               </v>
      </c>
      <c r="C107" s="14"/>
      <c r="D107" s="2">
        <f>SUM(OSRRefD22_10x_0)</f>
        <v>750.14999999999964</v>
      </c>
      <c r="E107" s="2"/>
      <c r="F107" s="6">
        <f t="shared" si="20"/>
        <v>2.2425100835826825E-4</v>
      </c>
      <c r="G107" s="2"/>
      <c r="H107" s="2">
        <f>SUM(OSRRefH22_10x_0)</f>
        <v>-525</v>
      </c>
      <c r="I107" s="2"/>
      <c r="J107" s="6">
        <f t="shared" si="21"/>
        <v>-2.429672549559535E-4</v>
      </c>
      <c r="K107" s="2"/>
      <c r="L107" s="2">
        <f t="shared" si="22"/>
        <v>1275.1499999999996</v>
      </c>
      <c r="M107" s="2"/>
      <c r="N107" s="6">
        <f t="shared" si="23"/>
        <v>-2.4288571428571424</v>
      </c>
      <c r="O107" s="14"/>
      <c r="P107" s="2">
        <f>SUM(OSRRefP22_10x_0)</f>
        <v>-43855.839999999997</v>
      </c>
      <c r="Q107" s="2"/>
      <c r="R107" s="6">
        <f t="shared" si="24"/>
        <v>-2.006234484237287E-3</v>
      </c>
      <c r="S107" s="2"/>
      <c r="T107" s="2">
        <f>SUM(OSRRefT22_10x_0)</f>
        <v>-11950</v>
      </c>
      <c r="U107" s="2"/>
      <c r="V107" s="6">
        <f t="shared" si="25"/>
        <v>-5.674205541186969E-4</v>
      </c>
      <c r="W107" s="2"/>
      <c r="X107" s="2">
        <f t="shared" si="26"/>
        <v>-31905.839999999997</v>
      </c>
      <c r="Y107" s="2"/>
      <c r="Z107" s="6">
        <f t="shared" si="27"/>
        <v>2.6699447698744767</v>
      </c>
    </row>
    <row r="108" spans="1:26" s="70" customFormat="1" ht="15" hidden="1" customHeight="1" outlineLevel="2" x14ac:dyDescent="0.3">
      <c r="A108" s="26"/>
      <c r="B108" s="12" t="str">
        <f>CONCATENATE("          ","6305"," - ","FREIGHT OUT")</f>
        <v xml:space="preserve">          6305 - FREIGHT OUT</v>
      </c>
      <c r="C108" s="12"/>
      <c r="D108" s="7">
        <v>14219.32</v>
      </c>
      <c r="E108" s="3"/>
      <c r="F108" s="8">
        <f t="shared" si="20"/>
        <v>4.2507456484288378E-3</v>
      </c>
      <c r="G108" s="3"/>
      <c r="H108" s="7">
        <v>3865</v>
      </c>
      <c r="I108" s="3"/>
      <c r="J108" s="8">
        <f t="shared" si="21"/>
        <v>1.7887017912471626E-3</v>
      </c>
      <c r="K108" s="3"/>
      <c r="L108" s="7">
        <f t="shared" si="22"/>
        <v>10354.32</v>
      </c>
      <c r="M108" s="3"/>
      <c r="N108" s="8">
        <f t="shared" si="23"/>
        <v>2.6789961190168174</v>
      </c>
      <c r="O108" s="12"/>
      <c r="P108" s="7">
        <v>126459.93</v>
      </c>
      <c r="Q108" s="3"/>
      <c r="R108" s="8">
        <f t="shared" si="24"/>
        <v>5.7850510317493265E-3</v>
      </c>
      <c r="S108" s="3"/>
      <c r="T108" s="7">
        <v>152450</v>
      </c>
      <c r="U108" s="3"/>
      <c r="V108" s="8">
        <f t="shared" si="25"/>
        <v>7.2387668180247146E-3</v>
      </c>
      <c r="W108" s="3"/>
      <c r="X108" s="7">
        <f t="shared" si="26"/>
        <v>-25990.070000000007</v>
      </c>
      <c r="Y108" s="3"/>
      <c r="Z108" s="8">
        <f t="shared" si="27"/>
        <v>-0.17048258445391937</v>
      </c>
    </row>
    <row r="109" spans="1:26" s="70" customFormat="1" ht="15" hidden="1" customHeight="1" outlineLevel="2" x14ac:dyDescent="0.3">
      <c r="A109" s="26"/>
      <c r="B109" s="12" t="str">
        <f>CONCATENATE("          ","6307"," - ","POSTAGE")</f>
        <v xml:space="preserve">          6307 - POSTAGE</v>
      </c>
      <c r="C109" s="12"/>
      <c r="D109" s="7">
        <v>-13469.17</v>
      </c>
      <c r="E109" s="3"/>
      <c r="F109" s="8">
        <f t="shared" si="20"/>
        <v>-4.0264946400705697E-3</v>
      </c>
      <c r="G109" s="3"/>
      <c r="H109" s="7">
        <v>-4390</v>
      </c>
      <c r="I109" s="3"/>
      <c r="J109" s="8">
        <f t="shared" si="21"/>
        <v>-2.0316690462031158E-3</v>
      </c>
      <c r="K109" s="3"/>
      <c r="L109" s="7">
        <f t="shared" si="22"/>
        <v>-9079.17</v>
      </c>
      <c r="M109" s="3"/>
      <c r="N109" s="8">
        <f t="shared" si="23"/>
        <v>2.068148063781321</v>
      </c>
      <c r="O109" s="12"/>
      <c r="P109" s="7">
        <v>-170315.77</v>
      </c>
      <c r="Q109" s="3"/>
      <c r="R109" s="8">
        <f t="shared" si="24"/>
        <v>-7.7912855159866139E-3</v>
      </c>
      <c r="S109" s="3"/>
      <c r="T109" s="7">
        <v>-164400</v>
      </c>
      <c r="U109" s="3"/>
      <c r="V109" s="8">
        <f t="shared" si="25"/>
        <v>-7.8061873721434116E-3</v>
      </c>
      <c r="W109" s="3"/>
      <c r="X109" s="7">
        <f t="shared" si="26"/>
        <v>-5915.7699999999895</v>
      </c>
      <c r="Y109" s="3"/>
      <c r="Z109" s="8">
        <f t="shared" si="27"/>
        <v>3.5984002433089961E-2</v>
      </c>
    </row>
    <row r="110" spans="1:26" s="69" customFormat="1" ht="15" customHeight="1" outlineLevel="1" collapsed="1" x14ac:dyDescent="0.3">
      <c r="A110" s="25"/>
      <c r="B110" s="14" t="str">
        <f>CONCATENATE("     ","General                                           ")</f>
        <v xml:space="preserve">     General                                           </v>
      </c>
      <c r="C110" s="14"/>
      <c r="D110" s="2">
        <f>SUM(OSRRefD22_11x_0)</f>
        <v>5483.44</v>
      </c>
      <c r="E110" s="2"/>
      <c r="F110" s="6">
        <f t="shared" si="20"/>
        <v>1.6392280867454016E-3</v>
      </c>
      <c r="G110" s="2"/>
      <c r="H110" s="2">
        <f>SUM(OSRRefH22_11x_0)</f>
        <v>1320</v>
      </c>
      <c r="I110" s="2"/>
      <c r="J110" s="6">
        <f t="shared" si="21"/>
        <v>6.1088909817496879E-4</v>
      </c>
      <c r="K110" s="2"/>
      <c r="L110" s="2">
        <f t="shared" si="22"/>
        <v>4163.4399999999996</v>
      </c>
      <c r="M110" s="2"/>
      <c r="N110" s="6">
        <f t="shared" si="23"/>
        <v>3.1541212121212117</v>
      </c>
      <c r="O110" s="14"/>
      <c r="P110" s="2">
        <f>SUM(OSRRefP22_11x_0)</f>
        <v>49630.32</v>
      </c>
      <c r="Q110" s="2"/>
      <c r="R110" s="6">
        <f t="shared" si="24"/>
        <v>2.2703945346328222E-3</v>
      </c>
      <c r="S110" s="2"/>
      <c r="T110" s="2">
        <f>SUM(OSRRefT22_11x_0)</f>
        <v>23820</v>
      </c>
      <c r="U110" s="2"/>
      <c r="V110" s="6">
        <f t="shared" si="25"/>
        <v>1.1310424769127498E-3</v>
      </c>
      <c r="W110" s="2"/>
      <c r="X110" s="2">
        <f t="shared" si="26"/>
        <v>25810.32</v>
      </c>
      <c r="Y110" s="2"/>
      <c r="Z110" s="6">
        <f t="shared" si="27"/>
        <v>1.0835566750629724</v>
      </c>
    </row>
    <row r="111" spans="1:26" s="70" customFormat="1" ht="15" hidden="1" customHeight="1" outlineLevel="2" x14ac:dyDescent="0.3">
      <c r="A111" s="26"/>
      <c r="B111" s="12" t="str">
        <f>CONCATENATE("          ","6269"," - ","ENTERTAINMENT")</f>
        <v xml:space="preserve">          6269 - ENTERTAINMENT</v>
      </c>
      <c r="C111" s="12"/>
      <c r="D111" s="7"/>
      <c r="E111" s="3"/>
      <c r="F111" s="8">
        <f t="shared" si="20"/>
        <v>0</v>
      </c>
      <c r="G111" s="3"/>
      <c r="H111" s="7"/>
      <c r="I111" s="3"/>
      <c r="J111" s="8">
        <f t="shared" si="21"/>
        <v>0</v>
      </c>
      <c r="K111" s="3"/>
      <c r="L111" s="7">
        <f t="shared" si="22"/>
        <v>0</v>
      </c>
      <c r="M111" s="3"/>
      <c r="N111" s="8">
        <f t="shared" si="23"/>
        <v>0</v>
      </c>
      <c r="O111" s="12"/>
      <c r="P111" s="7"/>
      <c r="Q111" s="3"/>
      <c r="R111" s="8">
        <f t="shared" si="24"/>
        <v>0</v>
      </c>
      <c r="S111" s="3"/>
      <c r="T111" s="7">
        <v>500</v>
      </c>
      <c r="U111" s="3"/>
      <c r="V111" s="8">
        <f t="shared" si="25"/>
        <v>2.3741445779024973E-5</v>
      </c>
      <c r="W111" s="3"/>
      <c r="X111" s="7">
        <f t="shared" si="26"/>
        <v>-500</v>
      </c>
      <c r="Y111" s="3"/>
      <c r="Z111" s="8">
        <f t="shared" si="27"/>
        <v>-1</v>
      </c>
    </row>
    <row r="112" spans="1:26" s="70" customFormat="1" ht="15" hidden="1" customHeight="1" outlineLevel="2" x14ac:dyDescent="0.3">
      <c r="A112" s="26"/>
      <c r="B112" s="12" t="str">
        <f>CONCATENATE("          ","6276"," - ","PROPERTY TAX")</f>
        <v xml:space="preserve">          6276 - PROPERTY TAX</v>
      </c>
      <c r="C112" s="12"/>
      <c r="D112" s="7"/>
      <c r="E112" s="3"/>
      <c r="F112" s="8">
        <f t="shared" si="20"/>
        <v>0</v>
      </c>
      <c r="G112" s="3"/>
      <c r="H112" s="7"/>
      <c r="I112" s="3"/>
      <c r="J112" s="8">
        <f t="shared" si="21"/>
        <v>0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/>
      <c r="Q112" s="3"/>
      <c r="R112" s="8">
        <f t="shared" si="24"/>
        <v>0</v>
      </c>
      <c r="S112" s="3"/>
      <c r="T112" s="7">
        <v>1250</v>
      </c>
      <c r="U112" s="3"/>
      <c r="V112" s="8">
        <f t="shared" si="25"/>
        <v>5.9353614447562437E-5</v>
      </c>
      <c r="W112" s="3"/>
      <c r="X112" s="7">
        <f t="shared" si="26"/>
        <v>-1250</v>
      </c>
      <c r="Y112" s="3"/>
      <c r="Z112" s="8">
        <f t="shared" si="27"/>
        <v>-1</v>
      </c>
    </row>
    <row r="113" spans="1:26" s="70" customFormat="1" ht="15" hidden="1" customHeight="1" outlineLevel="2" x14ac:dyDescent="0.3">
      <c r="A113" s="26"/>
      <c r="B113" s="12" t="str">
        <f>CONCATENATE("          ","6279"," - ","GENERAL EXPENSE")</f>
        <v xml:space="preserve">          6279 - GENERAL EXPENSE</v>
      </c>
      <c r="C113" s="12"/>
      <c r="D113" s="7">
        <v>5483.44</v>
      </c>
      <c r="E113" s="3"/>
      <c r="F113" s="8">
        <f t="shared" si="20"/>
        <v>1.6392280867454016E-3</v>
      </c>
      <c r="G113" s="3"/>
      <c r="H113" s="7">
        <v>1320</v>
      </c>
      <c r="I113" s="3"/>
      <c r="J113" s="8">
        <f t="shared" si="21"/>
        <v>6.1088909817496879E-4</v>
      </c>
      <c r="K113" s="3"/>
      <c r="L113" s="7">
        <f t="shared" si="22"/>
        <v>4163.4399999999996</v>
      </c>
      <c r="M113" s="3"/>
      <c r="N113" s="8">
        <f t="shared" si="23"/>
        <v>3.1541212121212117</v>
      </c>
      <c r="O113" s="12"/>
      <c r="P113" s="7">
        <v>49630.32</v>
      </c>
      <c r="Q113" s="3"/>
      <c r="R113" s="8">
        <f t="shared" si="24"/>
        <v>2.2703945346328222E-3</v>
      </c>
      <c r="S113" s="3"/>
      <c r="T113" s="7">
        <v>22070</v>
      </c>
      <c r="U113" s="3"/>
      <c r="V113" s="8">
        <f t="shared" si="25"/>
        <v>1.0479474166861624E-3</v>
      </c>
      <c r="W113" s="3"/>
      <c r="X113" s="7">
        <f t="shared" si="26"/>
        <v>27560.32</v>
      </c>
      <c r="Y113" s="3"/>
      <c r="Z113" s="8">
        <f t="shared" si="27"/>
        <v>1.248768463978251</v>
      </c>
    </row>
    <row r="114" spans="1:26" s="69" customFormat="1" ht="15" customHeight="1" outlineLevel="1" collapsed="1" x14ac:dyDescent="0.3">
      <c r="A114" s="25"/>
      <c r="B114" s="14" t="str">
        <f>CONCATENATE("     ","Insurance                                         ")</f>
        <v xml:space="preserve">     Insurance                                         </v>
      </c>
      <c r="C114" s="14"/>
      <c r="D114" s="2">
        <f>SUM(OSRRefD22_12x_0)</f>
        <v>11626.43</v>
      </c>
      <c r="E114" s="2"/>
      <c r="F114" s="6">
        <f t="shared" si="20"/>
        <v>3.4756230768603906E-3</v>
      </c>
      <c r="G114" s="2"/>
      <c r="H114" s="2">
        <f>SUM(OSRRefH22_12x_0)</f>
        <v>11425</v>
      </c>
      <c r="I114" s="2"/>
      <c r="J114" s="6">
        <f t="shared" si="21"/>
        <v>5.2874302626128933E-3</v>
      </c>
      <c r="K114" s="2"/>
      <c r="L114" s="2">
        <f t="shared" si="22"/>
        <v>201.43000000000029</v>
      </c>
      <c r="M114" s="2"/>
      <c r="N114" s="6">
        <f t="shared" si="23"/>
        <v>1.7630634573304185E-2</v>
      </c>
      <c r="O114" s="14"/>
      <c r="P114" s="2">
        <f>SUM(OSRRefP22_12x_0)</f>
        <v>123147.31</v>
      </c>
      <c r="Q114" s="2"/>
      <c r="R114" s="6">
        <f t="shared" si="24"/>
        <v>5.633511522366446E-3</v>
      </c>
      <c r="S114" s="2"/>
      <c r="T114" s="2">
        <f>SUM(OSRRefT22_12x_0)</f>
        <v>114250</v>
      </c>
      <c r="U114" s="2"/>
      <c r="V114" s="6">
        <f t="shared" si="25"/>
        <v>5.4249203605072063E-3</v>
      </c>
      <c r="W114" s="2"/>
      <c r="X114" s="2">
        <f t="shared" si="26"/>
        <v>8897.3099999999977</v>
      </c>
      <c r="Y114" s="2"/>
      <c r="Z114" s="6">
        <f t="shared" si="27"/>
        <v>7.7875798687089701E-2</v>
      </c>
    </row>
    <row r="115" spans="1:26" s="70" customFormat="1" ht="15" hidden="1" customHeight="1" outlineLevel="2" x14ac:dyDescent="0.3">
      <c r="A115" s="26"/>
      <c r="B115" s="12" t="str">
        <f>CONCATENATE("          ","6314"," - ","LIABILITY INSURANCE")</f>
        <v xml:space="preserve">          6314 - LIABILITY INSURANCE</v>
      </c>
      <c r="C115" s="12"/>
      <c r="D115" s="7">
        <v>11626.43</v>
      </c>
      <c r="E115" s="3"/>
      <c r="F115" s="8">
        <f t="shared" si="20"/>
        <v>3.4756230768603906E-3</v>
      </c>
      <c r="G115" s="3"/>
      <c r="H115" s="7">
        <v>11425</v>
      </c>
      <c r="I115" s="3"/>
      <c r="J115" s="8">
        <f t="shared" si="21"/>
        <v>5.2874302626128933E-3</v>
      </c>
      <c r="K115" s="3"/>
      <c r="L115" s="7">
        <f t="shared" si="22"/>
        <v>201.43000000000029</v>
      </c>
      <c r="M115" s="3"/>
      <c r="N115" s="8">
        <f t="shared" si="23"/>
        <v>1.7630634573304185E-2</v>
      </c>
      <c r="O115" s="12"/>
      <c r="P115" s="7">
        <v>123147.31</v>
      </c>
      <c r="Q115" s="3"/>
      <c r="R115" s="8">
        <f t="shared" si="24"/>
        <v>5.633511522366446E-3</v>
      </c>
      <c r="S115" s="3"/>
      <c r="T115" s="7">
        <v>114250</v>
      </c>
      <c r="U115" s="3"/>
      <c r="V115" s="8">
        <f t="shared" si="25"/>
        <v>5.4249203605072063E-3</v>
      </c>
      <c r="W115" s="3"/>
      <c r="X115" s="7">
        <f t="shared" si="26"/>
        <v>8897.3099999999977</v>
      </c>
      <c r="Y115" s="3"/>
      <c r="Z115" s="8">
        <f t="shared" si="27"/>
        <v>7.7875798687089701E-2</v>
      </c>
    </row>
    <row r="116" spans="1:26" s="69" customFormat="1" ht="15" customHeight="1" outlineLevel="1" collapsed="1" x14ac:dyDescent="0.3">
      <c r="A116" s="25"/>
      <c r="B116" s="14" t="str">
        <f>CONCATENATE("     ","Interest                                          ")</f>
        <v xml:space="preserve">     Interest                                          </v>
      </c>
      <c r="C116" s="14"/>
      <c r="D116" s="2">
        <f>SUM(OSRRefD22_13x_0)</f>
        <v>8660</v>
      </c>
      <c r="E116" s="2"/>
      <c r="F116" s="6">
        <f t="shared" si="20"/>
        <v>2.5888338764015252E-3</v>
      </c>
      <c r="G116" s="2"/>
      <c r="H116" s="2">
        <f>SUM(OSRRefH22_13x_0)</f>
        <v>11158</v>
      </c>
      <c r="I116" s="2"/>
      <c r="J116" s="6">
        <f t="shared" si="21"/>
        <v>5.1638640586638652E-3</v>
      </c>
      <c r="K116" s="2"/>
      <c r="L116" s="2">
        <f t="shared" si="22"/>
        <v>-2498</v>
      </c>
      <c r="M116" s="2"/>
      <c r="N116" s="6">
        <f t="shared" si="23"/>
        <v>-0.22387524645993906</v>
      </c>
      <c r="O116" s="14"/>
      <c r="P116" s="2">
        <f>SUM(OSRRefP22_13x_0)</f>
        <v>108292</v>
      </c>
      <c r="Q116" s="2"/>
      <c r="R116" s="6">
        <f t="shared" si="24"/>
        <v>4.9539387403598764E-3</v>
      </c>
      <c r="S116" s="2"/>
      <c r="T116" s="2">
        <f>SUM(OSRRefT22_13x_0)</f>
        <v>111580</v>
      </c>
      <c r="U116" s="2"/>
      <c r="V116" s="6">
        <f t="shared" si="25"/>
        <v>5.2981410400472131E-3</v>
      </c>
      <c r="W116" s="2"/>
      <c r="X116" s="2">
        <f t="shared" si="26"/>
        <v>-3288</v>
      </c>
      <c r="Y116" s="2"/>
      <c r="Z116" s="6">
        <f t="shared" si="27"/>
        <v>-2.9467646531636495E-2</v>
      </c>
    </row>
    <row r="117" spans="1:26" s="70" customFormat="1" ht="15" hidden="1" customHeight="1" outlineLevel="2" x14ac:dyDescent="0.3">
      <c r="A117" s="26"/>
      <c r="B117" s="12" t="str">
        <f>CONCATENATE("          ","6401"," - ","INTEREST EXPENSE")</f>
        <v xml:space="preserve">          6401 - INTEREST EXPENSE</v>
      </c>
      <c r="C117" s="12"/>
      <c r="D117" s="7">
        <v>8660</v>
      </c>
      <c r="E117" s="3"/>
      <c r="F117" s="8">
        <f t="shared" si="20"/>
        <v>2.5888338764015252E-3</v>
      </c>
      <c r="G117" s="3"/>
      <c r="H117" s="7">
        <v>11158</v>
      </c>
      <c r="I117" s="3"/>
      <c r="J117" s="8">
        <f t="shared" si="21"/>
        <v>5.1638640586638652E-3</v>
      </c>
      <c r="K117" s="3"/>
      <c r="L117" s="7">
        <f t="shared" si="22"/>
        <v>-2498</v>
      </c>
      <c r="M117" s="3"/>
      <c r="N117" s="8">
        <f t="shared" si="23"/>
        <v>-0.22387524645993906</v>
      </c>
      <c r="O117" s="12"/>
      <c r="P117" s="7">
        <v>108292</v>
      </c>
      <c r="Q117" s="3"/>
      <c r="R117" s="8">
        <f t="shared" si="24"/>
        <v>4.9539387403598764E-3</v>
      </c>
      <c r="S117" s="3"/>
      <c r="T117" s="7">
        <v>111580</v>
      </c>
      <c r="U117" s="3"/>
      <c r="V117" s="8">
        <f t="shared" si="25"/>
        <v>5.2981410400472131E-3</v>
      </c>
      <c r="W117" s="3"/>
      <c r="X117" s="7">
        <f t="shared" si="26"/>
        <v>-3288</v>
      </c>
      <c r="Y117" s="3"/>
      <c r="Z117" s="8">
        <f t="shared" si="27"/>
        <v>-2.9467646531636495E-2</v>
      </c>
    </row>
    <row r="118" spans="1:26" s="69" customFormat="1" ht="15" customHeight="1" outlineLevel="1" collapsed="1" x14ac:dyDescent="0.3">
      <c r="A118" s="25"/>
      <c r="B118" s="14" t="str">
        <f>CONCATENATE("     ","Inventory Adjustment                              ")</f>
        <v xml:space="preserve">     Inventory Adjustment                              </v>
      </c>
      <c r="C118" s="14"/>
      <c r="D118" s="2">
        <f>SUM(OSRRefD22_14x_0)</f>
        <v>6200</v>
      </c>
      <c r="E118" s="2"/>
      <c r="F118" s="6">
        <f t="shared" si="20"/>
        <v>1.8534376482320387E-3</v>
      </c>
      <c r="G118" s="2"/>
      <c r="H118" s="2">
        <f>SUM(OSRRefH22_14x_0)</f>
        <v>6200</v>
      </c>
      <c r="I118" s="2"/>
      <c r="J118" s="6">
        <f t="shared" si="21"/>
        <v>2.8693275823369747E-3</v>
      </c>
      <c r="K118" s="2"/>
      <c r="L118" s="2">
        <f t="shared" si="22"/>
        <v>0</v>
      </c>
      <c r="M118" s="2"/>
      <c r="N118" s="6">
        <f t="shared" si="23"/>
        <v>0</v>
      </c>
      <c r="O118" s="14"/>
      <c r="P118" s="2">
        <f>SUM(OSRRefP22_14x_0)</f>
        <v>63640</v>
      </c>
      <c r="Q118" s="2"/>
      <c r="R118" s="6">
        <f t="shared" si="24"/>
        <v>2.9112830258606593E-3</v>
      </c>
      <c r="S118" s="2"/>
      <c r="T118" s="2">
        <f>SUM(OSRRefT22_14x_0)</f>
        <v>64350</v>
      </c>
      <c r="U118" s="2"/>
      <c r="V118" s="6">
        <f t="shared" si="25"/>
        <v>3.0555240717605142E-3</v>
      </c>
      <c r="W118" s="2"/>
      <c r="X118" s="2">
        <f t="shared" si="26"/>
        <v>-710</v>
      </c>
      <c r="Y118" s="2"/>
      <c r="Z118" s="6">
        <f t="shared" si="27"/>
        <v>-1.1033411033411034E-2</v>
      </c>
    </row>
    <row r="119" spans="1:26" s="70" customFormat="1" ht="15" hidden="1" customHeight="1" outlineLevel="2" x14ac:dyDescent="0.3">
      <c r="A119" s="26"/>
      <c r="B119" s="12" t="str">
        <f>CONCATENATE("          ","6408"," - ","INVENTORY ADJUSTMENT")</f>
        <v xml:space="preserve">          6408 - INVENTORY ADJUSTMENT</v>
      </c>
      <c r="C119" s="12"/>
      <c r="D119" s="7">
        <v>6200</v>
      </c>
      <c r="E119" s="3"/>
      <c r="F119" s="8">
        <f t="shared" si="20"/>
        <v>1.8534376482320387E-3</v>
      </c>
      <c r="G119" s="3"/>
      <c r="H119" s="7">
        <v>6200</v>
      </c>
      <c r="I119" s="3"/>
      <c r="J119" s="8">
        <f t="shared" si="21"/>
        <v>2.8693275823369747E-3</v>
      </c>
      <c r="K119" s="3"/>
      <c r="L119" s="7">
        <f t="shared" si="22"/>
        <v>0</v>
      </c>
      <c r="M119" s="3"/>
      <c r="N119" s="8">
        <f t="shared" si="23"/>
        <v>0</v>
      </c>
      <c r="O119" s="12"/>
      <c r="P119" s="7">
        <v>63640</v>
      </c>
      <c r="Q119" s="3"/>
      <c r="R119" s="8">
        <f t="shared" si="24"/>
        <v>2.9112830258606593E-3</v>
      </c>
      <c r="S119" s="3"/>
      <c r="T119" s="7">
        <v>64350</v>
      </c>
      <c r="U119" s="3"/>
      <c r="V119" s="8">
        <f t="shared" si="25"/>
        <v>3.0555240717605142E-3</v>
      </c>
      <c r="W119" s="3"/>
      <c r="X119" s="7">
        <f t="shared" si="26"/>
        <v>-710</v>
      </c>
      <c r="Y119" s="3"/>
      <c r="Z119" s="8">
        <f t="shared" si="27"/>
        <v>-1.1033411033411034E-2</v>
      </c>
    </row>
    <row r="120" spans="1:26" s="69" customFormat="1" ht="15" customHeight="1" outlineLevel="1" collapsed="1" x14ac:dyDescent="0.3">
      <c r="A120" s="25"/>
      <c r="B120" s="14" t="str">
        <f>CONCATENATE("     ","Professional Services                             ")</f>
        <v xml:space="preserve">     Professional Services                             </v>
      </c>
      <c r="C120" s="14"/>
      <c r="D120" s="2">
        <f>SUM(OSRRefD22_15x_0)</f>
        <v>0</v>
      </c>
      <c r="E120" s="2"/>
      <c r="F120" s="6">
        <f t="shared" si="20"/>
        <v>0</v>
      </c>
      <c r="G120" s="2"/>
      <c r="H120" s="2">
        <f>SUM(OSRRefH22_15x_0)</f>
        <v>250</v>
      </c>
      <c r="I120" s="2"/>
      <c r="J120" s="6">
        <f t="shared" si="21"/>
        <v>1.1569869283616834E-4</v>
      </c>
      <c r="K120" s="2"/>
      <c r="L120" s="2">
        <f t="shared" si="22"/>
        <v>-250</v>
      </c>
      <c r="M120" s="2"/>
      <c r="N120" s="6">
        <f t="shared" si="23"/>
        <v>-1</v>
      </c>
      <c r="O120" s="14"/>
      <c r="P120" s="2">
        <f>SUM(OSRRefP22_15x_0)</f>
        <v>9626.5300000000007</v>
      </c>
      <c r="Q120" s="2"/>
      <c r="R120" s="6">
        <f t="shared" si="24"/>
        <v>4.4037638885824034E-4</v>
      </c>
      <c r="S120" s="2"/>
      <c r="T120" s="2">
        <f>SUM(OSRRefT22_15x_0)</f>
        <v>1750</v>
      </c>
      <c r="U120" s="2"/>
      <c r="V120" s="6">
        <f t="shared" si="25"/>
        <v>8.3095060226587406E-5</v>
      </c>
      <c r="W120" s="2"/>
      <c r="X120" s="2">
        <f t="shared" si="26"/>
        <v>7876.5300000000007</v>
      </c>
      <c r="Y120" s="2"/>
      <c r="Z120" s="6">
        <f t="shared" si="27"/>
        <v>4.5008742857142865</v>
      </c>
    </row>
    <row r="121" spans="1:26" s="70" customFormat="1" ht="15" hidden="1" customHeight="1" outlineLevel="2" x14ac:dyDescent="0.3">
      <c r="A121" s="26"/>
      <c r="B121" s="12" t="str">
        <f>CONCATENATE("          ","6336"," - ","PROFESSIONAL SERVICES")</f>
        <v xml:space="preserve">          6336 - PROFESSIONAL SERVICES</v>
      </c>
      <c r="C121" s="12"/>
      <c r="D121" s="7"/>
      <c r="E121" s="3"/>
      <c r="F121" s="8">
        <f t="shared" si="20"/>
        <v>0</v>
      </c>
      <c r="G121" s="3"/>
      <c r="H121" s="7">
        <v>250</v>
      </c>
      <c r="I121" s="3"/>
      <c r="J121" s="8">
        <f t="shared" si="21"/>
        <v>1.1569869283616834E-4</v>
      </c>
      <c r="K121" s="3"/>
      <c r="L121" s="7">
        <f t="shared" si="22"/>
        <v>-250</v>
      </c>
      <c r="M121" s="3"/>
      <c r="N121" s="8">
        <f t="shared" si="23"/>
        <v>-1</v>
      </c>
      <c r="O121" s="12"/>
      <c r="P121" s="7">
        <v>9626.5300000000007</v>
      </c>
      <c r="Q121" s="3"/>
      <c r="R121" s="8">
        <f t="shared" si="24"/>
        <v>4.4037638885824034E-4</v>
      </c>
      <c r="S121" s="3"/>
      <c r="T121" s="7">
        <v>1750</v>
      </c>
      <c r="U121" s="3"/>
      <c r="V121" s="8">
        <f t="shared" si="25"/>
        <v>8.3095060226587406E-5</v>
      </c>
      <c r="W121" s="3"/>
      <c r="X121" s="7">
        <f t="shared" si="26"/>
        <v>7876.5300000000007</v>
      </c>
      <c r="Y121" s="3"/>
      <c r="Z121" s="8">
        <f t="shared" si="27"/>
        <v>4.5008742857142865</v>
      </c>
    </row>
    <row r="122" spans="1:26" s="69" customFormat="1" ht="15" customHeight="1" outlineLevel="1" collapsed="1" x14ac:dyDescent="0.3">
      <c r="A122" s="25"/>
      <c r="B122" s="14" t="str">
        <f>CONCATENATE("     ","R/H Commissions                                   ")</f>
        <v xml:space="preserve">     R/H Commissions                                   </v>
      </c>
      <c r="C122" s="14"/>
      <c r="D122" s="2">
        <f>SUM(OSRRefD22_16x_0)</f>
        <v>135508.24</v>
      </c>
      <c r="E122" s="2"/>
      <c r="F122" s="6">
        <f t="shared" si="20"/>
        <v>4.0509044138977851E-2</v>
      </c>
      <c r="G122" s="2"/>
      <c r="H122" s="2">
        <f>SUM(OSRRefH22_16x_0)</f>
        <v>87091</v>
      </c>
      <c r="I122" s="2"/>
      <c r="J122" s="6">
        <f t="shared" si="21"/>
        <v>4.030525943117895E-2</v>
      </c>
      <c r="K122" s="2"/>
      <c r="L122" s="2">
        <f t="shared" si="22"/>
        <v>48417.239999999991</v>
      </c>
      <c r="M122" s="2"/>
      <c r="N122" s="6">
        <f t="shared" si="23"/>
        <v>0.55593850110803633</v>
      </c>
      <c r="O122" s="14"/>
      <c r="P122" s="2">
        <f>SUM(OSRRefP22_16x_0)</f>
        <v>856200.41</v>
      </c>
      <c r="Q122" s="2"/>
      <c r="R122" s="6">
        <f t="shared" si="24"/>
        <v>3.9167846014581037E-2</v>
      </c>
      <c r="S122" s="2"/>
      <c r="T122" s="2">
        <f>SUM(OSRRefT22_16x_0)</f>
        <v>659088</v>
      </c>
      <c r="U122" s="2"/>
      <c r="V122" s="6">
        <f t="shared" si="25"/>
        <v>3.1295404031212025E-2</v>
      </c>
      <c r="W122" s="2"/>
      <c r="X122" s="2">
        <f t="shared" si="26"/>
        <v>197112.41000000003</v>
      </c>
      <c r="Y122" s="2"/>
      <c r="Z122" s="6">
        <f t="shared" si="27"/>
        <v>0.29906842485373736</v>
      </c>
    </row>
    <row r="123" spans="1:26" s="70" customFormat="1" ht="15" hidden="1" customHeight="1" outlineLevel="2" x14ac:dyDescent="0.3">
      <c r="A123" s="26"/>
      <c r="B123" s="12" t="str">
        <f>CONCATENATE("          ","6387"," - ","COMMISSION DUE HOUSING")</f>
        <v xml:space="preserve">          6387 - COMMISSION DUE HOUSING</v>
      </c>
      <c r="C123" s="12"/>
      <c r="D123" s="7">
        <v>135508.24</v>
      </c>
      <c r="E123" s="3"/>
      <c r="F123" s="8">
        <f t="shared" si="20"/>
        <v>4.0509044138977851E-2</v>
      </c>
      <c r="G123" s="3"/>
      <c r="H123" s="7">
        <v>87091</v>
      </c>
      <c r="I123" s="3"/>
      <c r="J123" s="8">
        <f t="shared" si="21"/>
        <v>4.030525943117895E-2</v>
      </c>
      <c r="K123" s="3"/>
      <c r="L123" s="7">
        <f t="shared" si="22"/>
        <v>48417.239999999991</v>
      </c>
      <c r="M123" s="3"/>
      <c r="N123" s="8">
        <f t="shared" si="23"/>
        <v>0.55593850110803633</v>
      </c>
      <c r="O123" s="12"/>
      <c r="P123" s="7">
        <v>856200.41</v>
      </c>
      <c r="Q123" s="3"/>
      <c r="R123" s="8">
        <f t="shared" si="24"/>
        <v>3.9167846014581037E-2</v>
      </c>
      <c r="S123" s="3"/>
      <c r="T123" s="7">
        <v>659088</v>
      </c>
      <c r="U123" s="3"/>
      <c r="V123" s="8">
        <f t="shared" si="25"/>
        <v>3.1295404031212025E-2</v>
      </c>
      <c r="W123" s="3"/>
      <c r="X123" s="7">
        <f t="shared" si="26"/>
        <v>197112.41000000003</v>
      </c>
      <c r="Y123" s="3"/>
      <c r="Z123" s="8">
        <f t="shared" si="27"/>
        <v>0.29906842485373736</v>
      </c>
    </row>
    <row r="124" spans="1:26" s="69" customFormat="1" ht="15" customHeight="1" outlineLevel="1" collapsed="1" x14ac:dyDescent="0.3">
      <c r="A124" s="25"/>
      <c r="B124" s="14" t="str">
        <f>CONCATENATE("     ","Rent                                              ")</f>
        <v xml:space="preserve">     Rent                                              </v>
      </c>
      <c r="C124" s="14"/>
      <c r="D124" s="2">
        <f>SUM(OSRRefD22_17x_0)</f>
        <v>8750</v>
      </c>
      <c r="E124" s="2"/>
      <c r="F124" s="6">
        <f t="shared" si="20"/>
        <v>2.6157386164565063E-3</v>
      </c>
      <c r="G124" s="2"/>
      <c r="H124" s="2">
        <f>SUM(OSRRefH22_17x_0)</f>
        <v>8750</v>
      </c>
      <c r="I124" s="2"/>
      <c r="J124" s="6">
        <f t="shared" si="21"/>
        <v>4.0494542492658919E-3</v>
      </c>
      <c r="K124" s="2"/>
      <c r="L124" s="2">
        <f t="shared" si="22"/>
        <v>0</v>
      </c>
      <c r="M124" s="2"/>
      <c r="N124" s="6">
        <f t="shared" si="23"/>
        <v>0</v>
      </c>
      <c r="O124" s="14"/>
      <c r="P124" s="2">
        <f>SUM(OSRRefP22_17x_0)</f>
        <v>87500</v>
      </c>
      <c r="Q124" s="2"/>
      <c r="R124" s="6">
        <f t="shared" si="24"/>
        <v>4.0027854299624086E-3</v>
      </c>
      <c r="S124" s="2"/>
      <c r="T124" s="2">
        <f>SUM(OSRRefT22_17x_0)</f>
        <v>87500</v>
      </c>
      <c r="U124" s="2"/>
      <c r="V124" s="6">
        <f t="shared" si="25"/>
        <v>4.1547530113293703E-3</v>
      </c>
      <c r="W124" s="2"/>
      <c r="X124" s="2">
        <f t="shared" si="26"/>
        <v>0</v>
      </c>
      <c r="Y124" s="2"/>
      <c r="Z124" s="6">
        <f t="shared" si="27"/>
        <v>0</v>
      </c>
    </row>
    <row r="125" spans="1:26" s="70" customFormat="1" ht="15" hidden="1" customHeight="1" outlineLevel="2" x14ac:dyDescent="0.3">
      <c r="A125" s="26"/>
      <c r="B125" s="12" t="str">
        <f>CONCATENATE("          ","6273"," - ","RENT")</f>
        <v xml:space="preserve">          6273 - RENT</v>
      </c>
      <c r="C125" s="12"/>
      <c r="D125" s="7">
        <v>8750</v>
      </c>
      <c r="E125" s="3"/>
      <c r="F125" s="8">
        <f t="shared" si="20"/>
        <v>2.6157386164565063E-3</v>
      </c>
      <c r="G125" s="3"/>
      <c r="H125" s="7">
        <v>8750</v>
      </c>
      <c r="I125" s="3"/>
      <c r="J125" s="8">
        <f t="shared" si="21"/>
        <v>4.0494542492658919E-3</v>
      </c>
      <c r="K125" s="3"/>
      <c r="L125" s="7">
        <f t="shared" si="22"/>
        <v>0</v>
      </c>
      <c r="M125" s="3"/>
      <c r="N125" s="8">
        <f t="shared" si="23"/>
        <v>0</v>
      </c>
      <c r="O125" s="12"/>
      <c r="P125" s="7">
        <v>87500</v>
      </c>
      <c r="Q125" s="3"/>
      <c r="R125" s="8">
        <f t="shared" si="24"/>
        <v>4.0027854299624086E-3</v>
      </c>
      <c r="S125" s="3"/>
      <c r="T125" s="7">
        <v>87500</v>
      </c>
      <c r="U125" s="3"/>
      <c r="V125" s="8">
        <f t="shared" si="25"/>
        <v>4.1547530113293703E-3</v>
      </c>
      <c r="W125" s="3"/>
      <c r="X125" s="7">
        <f t="shared" si="26"/>
        <v>0</v>
      </c>
      <c r="Y125" s="3"/>
      <c r="Z125" s="8">
        <f t="shared" si="27"/>
        <v>0</v>
      </c>
    </row>
    <row r="126" spans="1:26" s="69" customFormat="1" ht="15" customHeight="1" outlineLevel="1" collapsed="1" x14ac:dyDescent="0.3">
      <c r="A126" s="25"/>
      <c r="B126" s="14" t="str">
        <f>CONCATENATE("     ","Repair and Maintenance                            ")</f>
        <v xml:space="preserve">     Repair and Maintenance                            </v>
      </c>
      <c r="C126" s="14"/>
      <c r="D126" s="2">
        <f>SUM(OSRRefD22_18x_0)</f>
        <v>28585.67</v>
      </c>
      <c r="E126" s="2"/>
      <c r="F126" s="6">
        <f t="shared" si="20"/>
        <v>8.5454446738608292E-3</v>
      </c>
      <c r="G126" s="2"/>
      <c r="H126" s="2">
        <f>SUM(OSRRefH22_18x_0)</f>
        <v>27039</v>
      </c>
      <c r="I126" s="2"/>
      <c r="J126" s="6">
        <f t="shared" si="21"/>
        <v>1.2513507822388623E-2</v>
      </c>
      <c r="K126" s="2"/>
      <c r="L126" s="2">
        <f t="shared" si="22"/>
        <v>1546.6699999999983</v>
      </c>
      <c r="M126" s="2"/>
      <c r="N126" s="6">
        <f t="shared" si="23"/>
        <v>5.7201449757757247E-2</v>
      </c>
      <c r="O126" s="14"/>
      <c r="P126" s="2">
        <f>SUM(OSRRefP22_18x_0)</f>
        <v>407006.18</v>
      </c>
      <c r="Q126" s="2"/>
      <c r="R126" s="6">
        <f t="shared" si="24"/>
        <v>1.8618953225241801E-2</v>
      </c>
      <c r="S126" s="2"/>
      <c r="T126" s="2">
        <f>SUM(OSRRefT22_18x_0)</f>
        <v>427835</v>
      </c>
      <c r="U126" s="2"/>
      <c r="V126" s="6">
        <f t="shared" si="25"/>
        <v>2.0314842909738298E-2</v>
      </c>
      <c r="W126" s="2"/>
      <c r="X126" s="2">
        <f t="shared" si="26"/>
        <v>-20828.820000000007</v>
      </c>
      <c r="Y126" s="2"/>
      <c r="Z126" s="6">
        <f t="shared" si="27"/>
        <v>-4.8684235745088664E-2</v>
      </c>
    </row>
    <row r="127" spans="1:26" s="70" customFormat="1" ht="15" hidden="1" customHeight="1" outlineLevel="2" x14ac:dyDescent="0.3">
      <c r="A127" s="26"/>
      <c r="B127" s="12" t="str">
        <f>CONCATENATE("          ","6371"," - ","COMPUTER SOFTWARE MAINTENANCE")</f>
        <v xml:space="preserve">          6371 - COMPUTER SOFTWARE MAINTENANCE</v>
      </c>
      <c r="C127" s="12"/>
      <c r="D127" s="7">
        <v>12466.19</v>
      </c>
      <c r="E127" s="3"/>
      <c r="F127" s="8">
        <f t="shared" si="20"/>
        <v>3.7266622380667355E-3</v>
      </c>
      <c r="G127" s="3"/>
      <c r="H127" s="7">
        <v>4500</v>
      </c>
      <c r="I127" s="3"/>
      <c r="J127" s="8">
        <f t="shared" si="21"/>
        <v>2.0825764710510303E-3</v>
      </c>
      <c r="K127" s="3"/>
      <c r="L127" s="7">
        <f t="shared" si="22"/>
        <v>7966.1900000000005</v>
      </c>
      <c r="M127" s="3"/>
      <c r="N127" s="8">
        <f t="shared" si="23"/>
        <v>1.7702644444444446</v>
      </c>
      <c r="O127" s="12"/>
      <c r="P127" s="7">
        <v>123211.76</v>
      </c>
      <c r="Q127" s="3"/>
      <c r="R127" s="8">
        <f t="shared" si="24"/>
        <v>5.636459859748858E-3</v>
      </c>
      <c r="S127" s="3"/>
      <c r="T127" s="7">
        <v>211723</v>
      </c>
      <c r="U127" s="3"/>
      <c r="V127" s="8">
        <f t="shared" si="25"/>
        <v>1.005322024934501E-2</v>
      </c>
      <c r="W127" s="3"/>
      <c r="X127" s="7">
        <f t="shared" si="26"/>
        <v>-88511.24</v>
      </c>
      <c r="Y127" s="3"/>
      <c r="Z127" s="8">
        <f t="shared" si="27"/>
        <v>-0.41805207747859235</v>
      </c>
    </row>
    <row r="128" spans="1:26" s="70" customFormat="1" ht="15" hidden="1" customHeight="1" outlineLevel="2" x14ac:dyDescent="0.3">
      <c r="A128" s="26"/>
      <c r="B128" s="12" t="str">
        <f>CONCATENATE("          ","6372"," - ","COMPUTER HARDWARE MAINTENANCE")</f>
        <v xml:space="preserve">          6372 - COMPUTER HARDWARE MAINTENANCE</v>
      </c>
      <c r="C128" s="12"/>
      <c r="D128" s="7"/>
      <c r="E128" s="3"/>
      <c r="F128" s="8">
        <f t="shared" si="20"/>
        <v>0</v>
      </c>
      <c r="G128" s="3"/>
      <c r="H128" s="7">
        <v>6950</v>
      </c>
      <c r="I128" s="3"/>
      <c r="J128" s="8">
        <f t="shared" si="21"/>
        <v>3.2164236608454798E-3</v>
      </c>
      <c r="K128" s="3"/>
      <c r="L128" s="7">
        <f t="shared" si="22"/>
        <v>-6950</v>
      </c>
      <c r="M128" s="3"/>
      <c r="N128" s="8">
        <f t="shared" si="23"/>
        <v>-1</v>
      </c>
      <c r="O128" s="12"/>
      <c r="P128" s="7">
        <v>1555.65</v>
      </c>
      <c r="Q128" s="3"/>
      <c r="R128" s="8">
        <f t="shared" si="24"/>
        <v>7.116495033281167E-5</v>
      </c>
      <c r="S128" s="3"/>
      <c r="T128" s="7">
        <v>74120</v>
      </c>
      <c r="U128" s="3"/>
      <c r="V128" s="8">
        <f t="shared" si="25"/>
        <v>3.5194319222826621E-3</v>
      </c>
      <c r="W128" s="3"/>
      <c r="X128" s="7">
        <f t="shared" si="26"/>
        <v>-72564.350000000006</v>
      </c>
      <c r="Y128" s="3"/>
      <c r="Z128" s="8">
        <f t="shared" si="27"/>
        <v>-0.97901173772261207</v>
      </c>
    </row>
    <row r="129" spans="1:26" s="70" customFormat="1" ht="15" hidden="1" customHeight="1" outlineLevel="2" x14ac:dyDescent="0.3">
      <c r="A129" s="26"/>
      <c r="B129" s="12" t="str">
        <f>CONCATENATE("          ","6373"," - ","MAINTENANCE CONTRACTS")</f>
        <v xml:space="preserve">          6373 - MAINTENANCE CONTRACTS</v>
      </c>
      <c r="C129" s="12"/>
      <c r="D129" s="7">
        <v>800.5</v>
      </c>
      <c r="E129" s="3"/>
      <c r="F129" s="8">
        <f t="shared" si="20"/>
        <v>2.3930271571124951E-4</v>
      </c>
      <c r="G129" s="3"/>
      <c r="H129" s="7">
        <v>10635</v>
      </c>
      <c r="I129" s="3"/>
      <c r="J129" s="8">
        <f t="shared" si="21"/>
        <v>4.9218223932506007E-3</v>
      </c>
      <c r="K129" s="3"/>
      <c r="L129" s="7">
        <f t="shared" si="22"/>
        <v>-9834.5</v>
      </c>
      <c r="M129" s="3"/>
      <c r="N129" s="8">
        <f t="shared" si="23"/>
        <v>-0.92472966619652097</v>
      </c>
      <c r="O129" s="12"/>
      <c r="P129" s="7">
        <v>166417.19</v>
      </c>
      <c r="Q129" s="3"/>
      <c r="R129" s="8">
        <f t="shared" si="24"/>
        <v>7.6129406105975529E-3</v>
      </c>
      <c r="S129" s="3"/>
      <c r="T129" s="7">
        <v>96969</v>
      </c>
      <c r="U129" s="3"/>
      <c r="V129" s="8">
        <f t="shared" si="25"/>
        <v>4.6043685114925455E-3</v>
      </c>
      <c r="W129" s="3"/>
      <c r="X129" s="7">
        <f t="shared" si="26"/>
        <v>69448.19</v>
      </c>
      <c r="Y129" s="3"/>
      <c r="Z129" s="8">
        <f t="shared" si="27"/>
        <v>0.71618960698780021</v>
      </c>
    </row>
    <row r="130" spans="1:26" s="70" customFormat="1" ht="15" hidden="1" customHeight="1" outlineLevel="2" x14ac:dyDescent="0.3">
      <c r="A130" s="26"/>
      <c r="B130" s="12" t="str">
        <f>CONCATENATE("          ","6375"," - ","OUTSIDE REPAIRS &amp; MAINTENANCE")</f>
        <v xml:space="preserve">          6375 - OUTSIDE REPAIRS &amp; MAINTENANCE</v>
      </c>
      <c r="C130" s="12"/>
      <c r="D130" s="7">
        <v>15318.98</v>
      </c>
      <c r="E130" s="3"/>
      <c r="F130" s="8">
        <f t="shared" ref="F130:F166" si="28">IF(D$12=0,0,D130/D$12)</f>
        <v>4.5794797200828449E-3</v>
      </c>
      <c r="G130" s="3"/>
      <c r="H130" s="7">
        <v>4954</v>
      </c>
      <c r="I130" s="3"/>
      <c r="J130" s="8">
        <f t="shared" ref="J130:J166" si="29">IF(H$12=0,0,H130/H$12)</f>
        <v>2.2926852972415118E-3</v>
      </c>
      <c r="K130" s="3"/>
      <c r="L130" s="7">
        <f t="shared" ref="L130:L166" si="30">+D130-H130</f>
        <v>10364.98</v>
      </c>
      <c r="M130" s="3"/>
      <c r="N130" s="8">
        <f t="shared" ref="N130:N166" si="31">IF(H130=0,0,L130/H130)</f>
        <v>2.0922446507872428</v>
      </c>
      <c r="O130" s="12"/>
      <c r="P130" s="7">
        <v>115821.58</v>
      </c>
      <c r="Q130" s="3"/>
      <c r="R130" s="8">
        <f t="shared" ref="R130:R166" si="32">IF(P$12=0,0,P130/P$12)</f>
        <v>5.2983878045625779E-3</v>
      </c>
      <c r="S130" s="3"/>
      <c r="T130" s="7">
        <v>45023</v>
      </c>
      <c r="U130" s="3"/>
      <c r="V130" s="8">
        <f t="shared" ref="V130:V166" si="33">IF(T$12=0,0,T130/T$12)</f>
        <v>2.137822226618083E-3</v>
      </c>
      <c r="W130" s="3"/>
      <c r="X130" s="7">
        <f t="shared" ref="X130:X166" si="34">+P130-T130</f>
        <v>70798.58</v>
      </c>
      <c r="Y130" s="3"/>
      <c r="Z130" s="8">
        <f t="shared" ref="Z130:Z166" si="35">IF(T130=0,0,X130/T130)</f>
        <v>1.5724980565488751</v>
      </c>
    </row>
    <row r="131" spans="1:26" s="69" customFormat="1" ht="15" customHeight="1" outlineLevel="1" collapsed="1" x14ac:dyDescent="0.3">
      <c r="A131" s="25"/>
      <c r="B131" s="14" t="str">
        <f>CONCATENATE("     ","Royalty &amp; Commissions                             ")</f>
        <v xml:space="preserve">     Royalty &amp; Commissions                             </v>
      </c>
      <c r="C131" s="14"/>
      <c r="D131" s="2">
        <f>SUM(OSRRefD22_19x_0)</f>
        <v>35099.46</v>
      </c>
      <c r="E131" s="2"/>
      <c r="F131" s="6">
        <f t="shared" si="28"/>
        <v>1.049268719300234E-2</v>
      </c>
      <c r="G131" s="2"/>
      <c r="H131" s="2">
        <f>SUM(OSRRefH22_19x_0)</f>
        <v>19437</v>
      </c>
      <c r="I131" s="2"/>
      <c r="J131" s="6">
        <f t="shared" si="29"/>
        <v>8.9953419706264165E-3</v>
      </c>
      <c r="K131" s="2"/>
      <c r="L131" s="2">
        <f t="shared" si="30"/>
        <v>15662.46</v>
      </c>
      <c r="M131" s="2"/>
      <c r="N131" s="6">
        <f t="shared" si="31"/>
        <v>0.80580645161290321</v>
      </c>
      <c r="O131" s="14"/>
      <c r="P131" s="2">
        <f>SUM(OSRRefP22_19x_0)</f>
        <v>92053.099999999991</v>
      </c>
      <c r="Q131" s="2"/>
      <c r="R131" s="6">
        <f t="shared" si="32"/>
        <v>4.2110720852899727E-3</v>
      </c>
      <c r="S131" s="2"/>
      <c r="T131" s="2">
        <f>SUM(OSRRefT22_19x_0)</f>
        <v>102127</v>
      </c>
      <c r="U131" s="2"/>
      <c r="V131" s="6">
        <f t="shared" si="33"/>
        <v>4.8492852661489666E-3</v>
      </c>
      <c r="W131" s="2"/>
      <c r="X131" s="2">
        <f t="shared" si="34"/>
        <v>-10073.900000000009</v>
      </c>
      <c r="Y131" s="2"/>
      <c r="Z131" s="6">
        <f t="shared" si="35"/>
        <v>-9.8640907889196869E-2</v>
      </c>
    </row>
    <row r="132" spans="1:26" s="70" customFormat="1" ht="15" hidden="1" customHeight="1" outlineLevel="2" x14ac:dyDescent="0.3">
      <c r="A132" s="26"/>
      <c r="B132" s="12" t="str">
        <f>CONCATENATE("          ","6252"," - ","ROYALTY DUE CSTV")</f>
        <v xml:space="preserve">          6252 - ROYALTY DUE CSTV</v>
      </c>
      <c r="C132" s="12"/>
      <c r="D132" s="7"/>
      <c r="E132" s="3"/>
      <c r="F132" s="8">
        <f t="shared" si="28"/>
        <v>0</v>
      </c>
      <c r="G132" s="3"/>
      <c r="H132" s="7">
        <v>948</v>
      </c>
      <c r="I132" s="3"/>
      <c r="J132" s="8">
        <f t="shared" si="29"/>
        <v>4.3872944323475034E-4</v>
      </c>
      <c r="K132" s="3"/>
      <c r="L132" s="7">
        <f t="shared" si="30"/>
        <v>-948</v>
      </c>
      <c r="M132" s="3"/>
      <c r="N132" s="8">
        <f t="shared" si="31"/>
        <v>-1</v>
      </c>
      <c r="O132" s="12"/>
      <c r="P132" s="7"/>
      <c r="Q132" s="3"/>
      <c r="R132" s="8">
        <f t="shared" si="32"/>
        <v>0</v>
      </c>
      <c r="S132" s="3"/>
      <c r="T132" s="7">
        <v>13530</v>
      </c>
      <c r="U132" s="3"/>
      <c r="V132" s="8">
        <f t="shared" si="33"/>
        <v>6.4244352278041577E-4</v>
      </c>
      <c r="W132" s="3"/>
      <c r="X132" s="7">
        <f t="shared" si="34"/>
        <v>-13530</v>
      </c>
      <c r="Y132" s="3"/>
      <c r="Z132" s="8">
        <f t="shared" si="35"/>
        <v>-1</v>
      </c>
    </row>
    <row r="133" spans="1:26" s="70" customFormat="1" ht="15" hidden="1" customHeight="1" outlineLevel="2" x14ac:dyDescent="0.3">
      <c r="A133" s="26"/>
      <c r="B133" s="12" t="str">
        <f>CONCATENATE("          ","6253"," - ","ROYALTY DUE ATHLETICS-LRG")</f>
        <v xml:space="preserve">          6253 - ROYALTY DUE ATHLETICS-LRG</v>
      </c>
      <c r="C133" s="12"/>
      <c r="D133" s="7">
        <v>15944.33</v>
      </c>
      <c r="E133" s="3"/>
      <c r="F133" s="8">
        <f t="shared" si="28"/>
        <v>4.7664228222315391E-3</v>
      </c>
      <c r="G133" s="3"/>
      <c r="H133" s="7">
        <v>14555</v>
      </c>
      <c r="I133" s="3"/>
      <c r="J133" s="8">
        <f t="shared" si="29"/>
        <v>6.7359778969217207E-3</v>
      </c>
      <c r="K133" s="3"/>
      <c r="L133" s="7">
        <f t="shared" si="30"/>
        <v>1389.33</v>
      </c>
      <c r="M133" s="3"/>
      <c r="N133" s="8">
        <f t="shared" si="31"/>
        <v>9.5453795946410167E-2</v>
      </c>
      <c r="O133" s="12"/>
      <c r="P133" s="7">
        <v>55165.49</v>
      </c>
      <c r="Q133" s="3"/>
      <c r="R133" s="8">
        <f t="shared" si="32"/>
        <v>2.5236070812427081E-3</v>
      </c>
      <c r="S133" s="3"/>
      <c r="T133" s="7">
        <v>38502</v>
      </c>
      <c r="U133" s="3"/>
      <c r="V133" s="8">
        <f t="shared" si="33"/>
        <v>1.8281862907680391E-3</v>
      </c>
      <c r="W133" s="3"/>
      <c r="X133" s="7">
        <f t="shared" si="34"/>
        <v>16663.489999999998</v>
      </c>
      <c r="Y133" s="3"/>
      <c r="Z133" s="8">
        <f t="shared" si="35"/>
        <v>0.4327954391979637</v>
      </c>
    </row>
    <row r="134" spans="1:26" s="70" customFormat="1" ht="15" hidden="1" customHeight="1" outlineLevel="2" x14ac:dyDescent="0.3">
      <c r="A134" s="26"/>
      <c r="B134" s="12" t="str">
        <f>CONCATENATE("          ","6254"," - ","ROYALTY &amp; COMMISSIONS")</f>
        <v xml:space="preserve">          6254 - ROYALTY &amp; COMMISSIONS</v>
      </c>
      <c r="C134" s="12"/>
      <c r="D134" s="7">
        <v>17110.099999999999</v>
      </c>
      <c r="E134" s="3"/>
      <c r="F134" s="8">
        <f t="shared" si="28"/>
        <v>5.1149199201637099E-3</v>
      </c>
      <c r="G134" s="3"/>
      <c r="H134" s="7">
        <v>1000</v>
      </c>
      <c r="I134" s="3"/>
      <c r="J134" s="8">
        <f t="shared" si="29"/>
        <v>4.6279477134467334E-4</v>
      </c>
      <c r="K134" s="3"/>
      <c r="L134" s="7">
        <f t="shared" si="30"/>
        <v>16110.099999999999</v>
      </c>
      <c r="M134" s="3"/>
      <c r="N134" s="8">
        <f t="shared" si="31"/>
        <v>16.110099999999999</v>
      </c>
      <c r="O134" s="12"/>
      <c r="P134" s="7">
        <v>24836.959999999999</v>
      </c>
      <c r="Q134" s="3"/>
      <c r="R134" s="8">
        <f t="shared" si="32"/>
        <v>1.1361945327149616E-3</v>
      </c>
      <c r="S134" s="3"/>
      <c r="T134" s="7">
        <v>3500</v>
      </c>
      <c r="U134" s="3"/>
      <c r="V134" s="8">
        <f t="shared" si="33"/>
        <v>1.6619012045317481E-4</v>
      </c>
      <c r="W134" s="3"/>
      <c r="X134" s="7">
        <f t="shared" si="34"/>
        <v>21336.959999999999</v>
      </c>
      <c r="Y134" s="3"/>
      <c r="Z134" s="8">
        <f t="shared" si="35"/>
        <v>6.0962742857142853</v>
      </c>
    </row>
    <row r="135" spans="1:26" s="70" customFormat="1" ht="15" hidden="1" customHeight="1" outlineLevel="2" x14ac:dyDescent="0.3">
      <c r="A135" s="26"/>
      <c r="B135" s="12" t="str">
        <f>CONCATENATE("          ","6259"," - ","ROYALTY &amp; COMMISSIONS")</f>
        <v xml:space="preserve">          6259 - ROYALTY &amp; COMMISSIONS</v>
      </c>
      <c r="C135" s="12"/>
      <c r="D135" s="7">
        <v>2045.03</v>
      </c>
      <c r="E135" s="3"/>
      <c r="F135" s="8">
        <f t="shared" si="28"/>
        <v>6.1134445060709135E-4</v>
      </c>
      <c r="G135" s="3"/>
      <c r="H135" s="7">
        <v>2934</v>
      </c>
      <c r="I135" s="3"/>
      <c r="J135" s="8">
        <f t="shared" si="29"/>
        <v>1.3578398591252716E-3</v>
      </c>
      <c r="K135" s="3"/>
      <c r="L135" s="7">
        <f t="shared" si="30"/>
        <v>-888.97</v>
      </c>
      <c r="M135" s="3"/>
      <c r="N135" s="8">
        <f t="shared" si="31"/>
        <v>-0.30298909338786639</v>
      </c>
      <c r="O135" s="12"/>
      <c r="P135" s="7">
        <v>12050.65</v>
      </c>
      <c r="Q135" s="3"/>
      <c r="R135" s="8">
        <f t="shared" si="32"/>
        <v>5.5127047133230291E-4</v>
      </c>
      <c r="S135" s="3"/>
      <c r="T135" s="7">
        <v>46595</v>
      </c>
      <c r="U135" s="3"/>
      <c r="V135" s="8">
        <f t="shared" si="33"/>
        <v>2.2124653321473372E-3</v>
      </c>
      <c r="W135" s="3"/>
      <c r="X135" s="7">
        <f t="shared" si="34"/>
        <v>-34544.35</v>
      </c>
      <c r="Y135" s="3"/>
      <c r="Z135" s="8">
        <f t="shared" si="35"/>
        <v>-0.74137461100976498</v>
      </c>
    </row>
    <row r="136" spans="1:26" s="69" customFormat="1" ht="15" customHeight="1" outlineLevel="1" collapsed="1" x14ac:dyDescent="0.3">
      <c r="A136" s="25"/>
      <c r="B136" s="14" t="str">
        <f>CONCATENATE("     ","Services                                          ")</f>
        <v xml:space="preserve">     Services                                          </v>
      </c>
      <c r="C136" s="14"/>
      <c r="D136" s="2">
        <f>SUM(OSRRefD22_20x_0)</f>
        <v>33001.03</v>
      </c>
      <c r="E136" s="2"/>
      <c r="F136" s="6">
        <f t="shared" si="28"/>
        <v>9.8653792632959602E-3</v>
      </c>
      <c r="G136" s="2"/>
      <c r="H136" s="2">
        <f>SUM(OSRRefH22_20x_0)</f>
        <v>38450</v>
      </c>
      <c r="I136" s="2"/>
      <c r="J136" s="6">
        <f t="shared" si="29"/>
        <v>1.779445895820269E-2</v>
      </c>
      <c r="K136" s="2"/>
      <c r="L136" s="2">
        <f t="shared" si="30"/>
        <v>-5448.9700000000012</v>
      </c>
      <c r="M136" s="2"/>
      <c r="N136" s="6">
        <f t="shared" si="31"/>
        <v>-0.14171573472041615</v>
      </c>
      <c r="O136" s="14"/>
      <c r="P136" s="2">
        <f>SUM(OSRRefP22_20x_0)</f>
        <v>312697.53000000003</v>
      </c>
      <c r="Q136" s="2"/>
      <c r="R136" s="6">
        <f t="shared" si="32"/>
        <v>1.4304698480791238E-2</v>
      </c>
      <c r="S136" s="2"/>
      <c r="T136" s="2">
        <f>SUM(OSRRefT22_20x_0)</f>
        <v>366783</v>
      </c>
      <c r="U136" s="2"/>
      <c r="V136" s="6">
        <f t="shared" si="33"/>
        <v>1.7415917414336235E-2</v>
      </c>
      <c r="W136" s="2"/>
      <c r="X136" s="2">
        <f t="shared" si="34"/>
        <v>-54085.469999999972</v>
      </c>
      <c r="Y136" s="2"/>
      <c r="Z136" s="6">
        <f t="shared" si="35"/>
        <v>-0.14745904254013947</v>
      </c>
    </row>
    <row r="137" spans="1:26" s="70" customFormat="1" ht="15" hidden="1" customHeight="1" outlineLevel="2" x14ac:dyDescent="0.3">
      <c r="A137" s="26"/>
      <c r="B137" s="12" t="str">
        <f>CONCATENATE("          ","6282"," - ","JANITORIAL/EXTERMINATOR EXPENS")</f>
        <v xml:space="preserve">          6282 - JANITORIAL/EXTERMINATOR EXPENS</v>
      </c>
      <c r="C137" s="12"/>
      <c r="D137" s="7">
        <v>3313.8</v>
      </c>
      <c r="E137" s="3"/>
      <c r="F137" s="8">
        <f t="shared" si="28"/>
        <v>9.9063252882440806E-4</v>
      </c>
      <c r="G137" s="3"/>
      <c r="H137" s="7">
        <v>7256</v>
      </c>
      <c r="I137" s="3"/>
      <c r="J137" s="8">
        <f t="shared" si="29"/>
        <v>3.3580388608769498E-3</v>
      </c>
      <c r="K137" s="3"/>
      <c r="L137" s="7">
        <f t="shared" si="30"/>
        <v>-3942.2</v>
      </c>
      <c r="M137" s="3"/>
      <c r="N137" s="8">
        <f t="shared" si="31"/>
        <v>-0.54330209481808156</v>
      </c>
      <c r="O137" s="12"/>
      <c r="P137" s="7">
        <v>34588.410000000003</v>
      </c>
      <c r="Q137" s="3"/>
      <c r="R137" s="8">
        <f t="shared" si="32"/>
        <v>1.5822855267836125E-3</v>
      </c>
      <c r="S137" s="3"/>
      <c r="T137" s="7">
        <v>72202</v>
      </c>
      <c r="U137" s="3"/>
      <c r="V137" s="8">
        <f t="shared" si="33"/>
        <v>3.4283597362743225E-3</v>
      </c>
      <c r="W137" s="3"/>
      <c r="X137" s="7">
        <f t="shared" si="34"/>
        <v>-37613.589999999997</v>
      </c>
      <c r="Y137" s="3"/>
      <c r="Z137" s="8">
        <f t="shared" si="35"/>
        <v>-0.52094941968366526</v>
      </c>
    </row>
    <row r="138" spans="1:26" s="70" customFormat="1" ht="15" hidden="1" customHeight="1" outlineLevel="2" x14ac:dyDescent="0.3">
      <c r="A138" s="26"/>
      <c r="B138" s="12" t="str">
        <f>CONCATENATE("          ","6283"," - ","PLANT SERVICE")</f>
        <v xml:space="preserve">          6283 - PLANT SERVICE</v>
      </c>
      <c r="C138" s="12"/>
      <c r="D138" s="7"/>
      <c r="E138" s="3"/>
      <c r="F138" s="8">
        <f t="shared" si="28"/>
        <v>0</v>
      </c>
      <c r="G138" s="3"/>
      <c r="H138" s="7">
        <v>100</v>
      </c>
      <c r="I138" s="3"/>
      <c r="J138" s="8">
        <f t="shared" si="29"/>
        <v>4.6279477134467334E-5</v>
      </c>
      <c r="K138" s="3"/>
      <c r="L138" s="7">
        <f t="shared" si="30"/>
        <v>-100</v>
      </c>
      <c r="M138" s="3"/>
      <c r="N138" s="8">
        <f t="shared" si="31"/>
        <v>-1</v>
      </c>
      <c r="O138" s="12"/>
      <c r="P138" s="7"/>
      <c r="Q138" s="3"/>
      <c r="R138" s="8">
        <f t="shared" si="32"/>
        <v>0</v>
      </c>
      <c r="S138" s="3"/>
      <c r="T138" s="7">
        <v>1000</v>
      </c>
      <c r="U138" s="3"/>
      <c r="V138" s="8">
        <f t="shared" si="33"/>
        <v>4.7482891558049945E-5</v>
      </c>
      <c r="W138" s="3"/>
      <c r="X138" s="7">
        <f t="shared" si="34"/>
        <v>-1000</v>
      </c>
      <c r="Y138" s="3"/>
      <c r="Z138" s="8">
        <f t="shared" si="35"/>
        <v>-1</v>
      </c>
    </row>
    <row r="139" spans="1:26" s="70" customFormat="1" ht="15" hidden="1" customHeight="1" outlineLevel="2" x14ac:dyDescent="0.3">
      <c r="A139" s="26"/>
      <c r="B139" s="12" t="str">
        <f>CONCATENATE("          ","6284"," - ","TRASH REMOVAL EXPENSE")</f>
        <v xml:space="preserve">          6284 - TRASH REMOVAL EXPENSE</v>
      </c>
      <c r="C139" s="12"/>
      <c r="D139" s="7"/>
      <c r="E139" s="3"/>
      <c r="F139" s="8">
        <f t="shared" si="28"/>
        <v>0</v>
      </c>
      <c r="G139" s="3"/>
      <c r="H139" s="7">
        <v>1660</v>
      </c>
      <c r="I139" s="3"/>
      <c r="J139" s="8">
        <f t="shared" si="29"/>
        <v>7.6823932043215779E-4</v>
      </c>
      <c r="K139" s="3"/>
      <c r="L139" s="7">
        <f t="shared" si="30"/>
        <v>-1660</v>
      </c>
      <c r="M139" s="3"/>
      <c r="N139" s="8">
        <f t="shared" si="31"/>
        <v>-1</v>
      </c>
      <c r="O139" s="12"/>
      <c r="P139" s="7">
        <v>1340.17</v>
      </c>
      <c r="Q139" s="3"/>
      <c r="R139" s="8">
        <f t="shared" si="32"/>
        <v>6.1307576567688247E-5</v>
      </c>
      <c r="S139" s="3"/>
      <c r="T139" s="7">
        <v>16780</v>
      </c>
      <c r="U139" s="3"/>
      <c r="V139" s="8">
        <f t="shared" si="33"/>
        <v>7.9676292034407809E-4</v>
      </c>
      <c r="W139" s="3"/>
      <c r="X139" s="7">
        <f t="shared" si="34"/>
        <v>-15439.83</v>
      </c>
      <c r="Y139" s="3"/>
      <c r="Z139" s="8">
        <f t="shared" si="35"/>
        <v>-0.92013289630512518</v>
      </c>
    </row>
    <row r="140" spans="1:26" s="70" customFormat="1" ht="15" hidden="1" customHeight="1" outlineLevel="2" x14ac:dyDescent="0.3">
      <c r="A140" s="26"/>
      <c r="B140" s="12" t="str">
        <f>CONCATENATE("          ","6285"," - ","JANITORIAL SERVICES")</f>
        <v xml:space="preserve">          6285 - JANITORIAL SERVICES</v>
      </c>
      <c r="C140" s="12"/>
      <c r="D140" s="7">
        <v>22954</v>
      </c>
      <c r="E140" s="3"/>
      <c r="F140" s="8">
        <f t="shared" si="28"/>
        <v>6.8619044802448736E-3</v>
      </c>
      <c r="G140" s="3"/>
      <c r="H140" s="7">
        <v>23958</v>
      </c>
      <c r="I140" s="3"/>
      <c r="J140" s="8">
        <f t="shared" si="29"/>
        <v>1.1087637131875685E-2</v>
      </c>
      <c r="K140" s="3"/>
      <c r="L140" s="7">
        <f t="shared" si="30"/>
        <v>-1004</v>
      </c>
      <c r="M140" s="3"/>
      <c r="N140" s="8">
        <f t="shared" si="31"/>
        <v>-4.1906670005843562E-2</v>
      </c>
      <c r="O140" s="12"/>
      <c r="P140" s="7">
        <v>241341.24</v>
      </c>
      <c r="Q140" s="3"/>
      <c r="R140" s="8">
        <f t="shared" si="32"/>
        <v>1.1040425132812124E-2</v>
      </c>
      <c r="S140" s="3"/>
      <c r="T140" s="7">
        <v>224253</v>
      </c>
      <c r="U140" s="3"/>
      <c r="V140" s="8">
        <f t="shared" si="33"/>
        <v>1.0648180880567374E-2</v>
      </c>
      <c r="W140" s="3"/>
      <c r="X140" s="7">
        <f t="shared" si="34"/>
        <v>17088.239999999991</v>
      </c>
      <c r="Y140" s="3"/>
      <c r="Z140" s="8">
        <f t="shared" si="35"/>
        <v>7.6200719722813032E-2</v>
      </c>
    </row>
    <row r="141" spans="1:26" s="70" customFormat="1" ht="15" hidden="1" customHeight="1" outlineLevel="2" x14ac:dyDescent="0.3">
      <c r="A141" s="26"/>
      <c r="B141" s="12" t="str">
        <f>CONCATENATE("          ","6286"," - ","LAUNDRY EXPENSE")</f>
        <v xml:space="preserve">          6286 - LAUNDRY EXPENSE</v>
      </c>
      <c r="C141" s="12"/>
      <c r="D141" s="7">
        <v>6733.23</v>
      </c>
      <c r="E141" s="3"/>
      <c r="F141" s="8">
        <f t="shared" si="28"/>
        <v>2.0128422542266791E-3</v>
      </c>
      <c r="G141" s="3"/>
      <c r="H141" s="7">
        <v>5476</v>
      </c>
      <c r="I141" s="3"/>
      <c r="J141" s="8">
        <f t="shared" si="29"/>
        <v>2.5342641678834312E-3</v>
      </c>
      <c r="K141" s="3"/>
      <c r="L141" s="7">
        <f t="shared" si="30"/>
        <v>1257.2299999999996</v>
      </c>
      <c r="M141" s="3"/>
      <c r="N141" s="8">
        <f t="shared" si="31"/>
        <v>0.22958911614317012</v>
      </c>
      <c r="O141" s="12"/>
      <c r="P141" s="7">
        <v>35427.71</v>
      </c>
      <c r="Q141" s="3"/>
      <c r="R141" s="8">
        <f t="shared" si="32"/>
        <v>1.6206802446278117E-3</v>
      </c>
      <c r="S141" s="3"/>
      <c r="T141" s="7">
        <v>52548</v>
      </c>
      <c r="U141" s="3"/>
      <c r="V141" s="8">
        <f t="shared" si="33"/>
        <v>2.4951309855924088E-3</v>
      </c>
      <c r="W141" s="3"/>
      <c r="X141" s="7">
        <f t="shared" si="34"/>
        <v>-17120.29</v>
      </c>
      <c r="Y141" s="3"/>
      <c r="Z141" s="8">
        <f t="shared" si="35"/>
        <v>-0.3258028849813504</v>
      </c>
    </row>
    <row r="142" spans="1:26" s="69" customFormat="1" ht="15" customHeight="1" outlineLevel="1" collapsed="1" x14ac:dyDescent="0.3">
      <c r="A142" s="25"/>
      <c r="B142" s="14" t="str">
        <f>CONCATENATE("     ","Subscriptions &amp; Dues                              ")</f>
        <v xml:space="preserve">     Subscriptions &amp; Dues                              </v>
      </c>
      <c r="C142" s="14"/>
      <c r="D142" s="2">
        <f>SUM(OSRRefD22_21x_0)</f>
        <v>2978.79</v>
      </c>
      <c r="E142" s="2"/>
      <c r="F142" s="6">
        <f t="shared" si="28"/>
        <v>8.9048411809308304E-4</v>
      </c>
      <c r="G142" s="2"/>
      <c r="H142" s="2">
        <f>SUM(OSRRefH22_21x_0)</f>
        <v>2156</v>
      </c>
      <c r="I142" s="2"/>
      <c r="J142" s="6">
        <f t="shared" si="29"/>
        <v>9.977855270191158E-4</v>
      </c>
      <c r="K142" s="2"/>
      <c r="L142" s="2">
        <f t="shared" si="30"/>
        <v>822.79</v>
      </c>
      <c r="M142" s="2"/>
      <c r="N142" s="6">
        <f t="shared" si="31"/>
        <v>0.38162801484230052</v>
      </c>
      <c r="O142" s="14"/>
      <c r="P142" s="2">
        <f>SUM(OSRRefP22_21x_0)</f>
        <v>11303.34</v>
      </c>
      <c r="Q142" s="2"/>
      <c r="R142" s="6">
        <f t="shared" si="32"/>
        <v>5.1708393899327191E-4</v>
      </c>
      <c r="S142" s="2"/>
      <c r="T142" s="2">
        <f>SUM(OSRRefT22_21x_0)</f>
        <v>19920</v>
      </c>
      <c r="U142" s="2"/>
      <c r="V142" s="6">
        <f t="shared" si="33"/>
        <v>9.45859199836355E-4</v>
      </c>
      <c r="W142" s="2"/>
      <c r="X142" s="2">
        <f t="shared" si="34"/>
        <v>-8616.66</v>
      </c>
      <c r="Y142" s="2"/>
      <c r="Z142" s="6">
        <f t="shared" si="35"/>
        <v>-0.43256325301204818</v>
      </c>
    </row>
    <row r="143" spans="1:26" s="70" customFormat="1" ht="15" hidden="1" customHeight="1" outlineLevel="2" x14ac:dyDescent="0.3">
      <c r="A143" s="26"/>
      <c r="B143" s="12" t="str">
        <f>CONCATENATE("          ","6258"," - ","MEMBERSHIP DUES")</f>
        <v xml:space="preserve">          6258 - MEMBERSHIP DUES</v>
      </c>
      <c r="C143" s="12"/>
      <c r="D143" s="7">
        <v>510.65</v>
      </c>
      <c r="E143" s="3"/>
      <c r="F143" s="8">
        <f t="shared" si="28"/>
        <v>1.5265450565640171E-4</v>
      </c>
      <c r="G143" s="3"/>
      <c r="H143" s="7">
        <v>1385</v>
      </c>
      <c r="I143" s="3"/>
      <c r="J143" s="8">
        <f t="shared" si="29"/>
        <v>6.4097075831237257E-4</v>
      </c>
      <c r="K143" s="3"/>
      <c r="L143" s="7">
        <f t="shared" si="30"/>
        <v>-874.35</v>
      </c>
      <c r="M143" s="3"/>
      <c r="N143" s="8">
        <f t="shared" si="31"/>
        <v>-0.63129963898916974</v>
      </c>
      <c r="O143" s="12"/>
      <c r="P143" s="7">
        <v>2988.3</v>
      </c>
      <c r="Q143" s="3"/>
      <c r="R143" s="8">
        <f t="shared" si="32"/>
        <v>1.3670312800407621E-4</v>
      </c>
      <c r="S143" s="3"/>
      <c r="T143" s="7">
        <v>11040</v>
      </c>
      <c r="U143" s="3"/>
      <c r="V143" s="8">
        <f t="shared" si="33"/>
        <v>5.2421112280087137E-4</v>
      </c>
      <c r="W143" s="3"/>
      <c r="X143" s="7">
        <f t="shared" si="34"/>
        <v>-8051.7</v>
      </c>
      <c r="Y143" s="3"/>
      <c r="Z143" s="8">
        <f t="shared" si="35"/>
        <v>-0.72932065217391306</v>
      </c>
    </row>
    <row r="144" spans="1:26" s="70" customFormat="1" ht="15" hidden="1" customHeight="1" outlineLevel="2" x14ac:dyDescent="0.3">
      <c r="A144" s="26"/>
      <c r="B144" s="12" t="str">
        <f>CONCATENATE("          ","6275"," - ","SUBSCRIPTIONS")</f>
        <v xml:space="preserve">          6275 - SUBSCRIPTIONS</v>
      </c>
      <c r="C144" s="12"/>
      <c r="D144" s="7">
        <v>2468.14</v>
      </c>
      <c r="E144" s="3"/>
      <c r="F144" s="8">
        <f t="shared" si="28"/>
        <v>7.378296124366813E-4</v>
      </c>
      <c r="G144" s="3"/>
      <c r="H144" s="7">
        <v>771</v>
      </c>
      <c r="I144" s="3"/>
      <c r="J144" s="8">
        <f t="shared" si="29"/>
        <v>3.5681476870674317E-4</v>
      </c>
      <c r="K144" s="3"/>
      <c r="L144" s="7">
        <f t="shared" si="30"/>
        <v>1697.1399999999999</v>
      </c>
      <c r="M144" s="3"/>
      <c r="N144" s="8">
        <f t="shared" si="31"/>
        <v>2.201219195849546</v>
      </c>
      <c r="O144" s="12"/>
      <c r="P144" s="7">
        <v>8315.0400000000009</v>
      </c>
      <c r="Q144" s="3"/>
      <c r="R144" s="8">
        <f t="shared" si="32"/>
        <v>3.8038081098919576E-4</v>
      </c>
      <c r="S144" s="3"/>
      <c r="T144" s="7">
        <v>8880</v>
      </c>
      <c r="U144" s="3"/>
      <c r="V144" s="8">
        <f t="shared" si="33"/>
        <v>4.2164807703548351E-4</v>
      </c>
      <c r="W144" s="3"/>
      <c r="X144" s="7">
        <f t="shared" si="34"/>
        <v>-564.95999999999913</v>
      </c>
      <c r="Y144" s="3"/>
      <c r="Z144" s="8">
        <f t="shared" si="35"/>
        <v>-6.3621621621621521E-2</v>
      </c>
    </row>
    <row r="145" spans="1:26" s="69" customFormat="1" ht="15" customHeight="1" outlineLevel="1" collapsed="1" x14ac:dyDescent="0.3">
      <c r="A145" s="25"/>
      <c r="B145" s="14" t="str">
        <f>CONCATENATE("     ","Supplies                                          ")</f>
        <v xml:space="preserve">     Supplies                                          </v>
      </c>
      <c r="C145" s="14"/>
      <c r="D145" s="2">
        <f>SUM(OSRRefD22_22x_0)</f>
        <v>58390.84</v>
      </c>
      <c r="E145" s="2"/>
      <c r="F145" s="6">
        <f t="shared" si="28"/>
        <v>1.7455448575466652E-2</v>
      </c>
      <c r="G145" s="2"/>
      <c r="H145" s="2">
        <f>SUM(OSRRefH22_22x_0)</f>
        <v>49115</v>
      </c>
      <c r="I145" s="2"/>
      <c r="J145" s="6">
        <f t="shared" si="29"/>
        <v>2.2730165194593633E-2</v>
      </c>
      <c r="K145" s="2"/>
      <c r="L145" s="2">
        <f t="shared" si="30"/>
        <v>9275.8399999999965</v>
      </c>
      <c r="M145" s="2"/>
      <c r="N145" s="6">
        <f t="shared" si="31"/>
        <v>0.18885961518884245</v>
      </c>
      <c r="O145" s="14"/>
      <c r="P145" s="2">
        <f>SUM(OSRRefP22_22x_0)</f>
        <v>480807.3</v>
      </c>
      <c r="Q145" s="2"/>
      <c r="R145" s="6">
        <f t="shared" si="32"/>
        <v>2.19950680578236E-2</v>
      </c>
      <c r="S145" s="2"/>
      <c r="T145" s="2">
        <f>SUM(OSRRefT22_22x_0)</f>
        <v>521428</v>
      </c>
      <c r="U145" s="2"/>
      <c r="V145" s="6">
        <f t="shared" si="33"/>
        <v>2.4758909179330869E-2</v>
      </c>
      <c r="W145" s="2"/>
      <c r="X145" s="2">
        <f t="shared" si="34"/>
        <v>-40620.700000000012</v>
      </c>
      <c r="Y145" s="2"/>
      <c r="Z145" s="6">
        <f t="shared" si="35"/>
        <v>-7.7902797701696128E-2</v>
      </c>
    </row>
    <row r="146" spans="1:26" s="70" customFormat="1" ht="15" hidden="1" customHeight="1" outlineLevel="2" x14ac:dyDescent="0.3">
      <c r="A146" s="26"/>
      <c r="B146" s="12" t="str">
        <f>CONCATENATE("          ","6234"," - ","EXPENDABLE SUPPLIES &amp; EQUIPMEN")</f>
        <v xml:space="preserve">          6234 - EXPENDABLE SUPPLIES &amp; EQUIPMEN</v>
      </c>
      <c r="C146" s="12"/>
      <c r="D146" s="7">
        <v>5168.6499999999996</v>
      </c>
      <c r="E146" s="3"/>
      <c r="F146" s="8">
        <f t="shared" si="28"/>
        <v>1.5451242742797622E-3</v>
      </c>
      <c r="G146" s="3"/>
      <c r="H146" s="7">
        <v>6492</v>
      </c>
      <c r="I146" s="3"/>
      <c r="J146" s="8">
        <f t="shared" si="29"/>
        <v>3.0044636555696192E-3</v>
      </c>
      <c r="K146" s="3"/>
      <c r="L146" s="7">
        <f t="shared" si="30"/>
        <v>-1323.3500000000004</v>
      </c>
      <c r="M146" s="3"/>
      <c r="N146" s="8">
        <f t="shared" si="31"/>
        <v>-0.203843191620456</v>
      </c>
      <c r="O146" s="12"/>
      <c r="P146" s="7">
        <v>12156.59</v>
      </c>
      <c r="Q146" s="3"/>
      <c r="R146" s="8">
        <f t="shared" si="32"/>
        <v>5.5611681520030532E-4</v>
      </c>
      <c r="S146" s="3"/>
      <c r="T146" s="7">
        <v>64570</v>
      </c>
      <c r="U146" s="3"/>
      <c r="V146" s="8">
        <f t="shared" si="33"/>
        <v>3.0659703079032852E-3</v>
      </c>
      <c r="W146" s="3"/>
      <c r="X146" s="7">
        <f t="shared" si="34"/>
        <v>-52413.41</v>
      </c>
      <c r="Y146" s="3"/>
      <c r="Z146" s="8">
        <f t="shared" si="35"/>
        <v>-0.81173006039956641</v>
      </c>
    </row>
    <row r="147" spans="1:26" s="70" customFormat="1" ht="15" hidden="1" customHeight="1" outlineLevel="2" x14ac:dyDescent="0.3">
      <c r="A147" s="26"/>
      <c r="B147" s="12" t="str">
        <f>CONCATENATE("          ","6235"," - ","COVID-19 EXPENSES")</f>
        <v xml:space="preserve">          6235 - COVID-19 EXPENSES</v>
      </c>
      <c r="C147" s="12"/>
      <c r="D147" s="7"/>
      <c r="E147" s="3"/>
      <c r="F147" s="8">
        <f t="shared" si="28"/>
        <v>0</v>
      </c>
      <c r="G147" s="3"/>
      <c r="H147" s="7">
        <v>375</v>
      </c>
      <c r="I147" s="3"/>
      <c r="J147" s="8">
        <f t="shared" si="29"/>
        <v>1.735480392542525E-4</v>
      </c>
      <c r="K147" s="3"/>
      <c r="L147" s="7">
        <f t="shared" si="30"/>
        <v>-375</v>
      </c>
      <c r="M147" s="3"/>
      <c r="N147" s="8">
        <f t="shared" si="31"/>
        <v>-1</v>
      </c>
      <c r="O147" s="12"/>
      <c r="P147" s="7">
        <v>4279.6099999999997</v>
      </c>
      <c r="Q147" s="3"/>
      <c r="R147" s="8">
        <f t="shared" si="32"/>
        <v>1.9577554918767339E-4</v>
      </c>
      <c r="S147" s="3"/>
      <c r="T147" s="7">
        <v>4000</v>
      </c>
      <c r="U147" s="3"/>
      <c r="V147" s="8">
        <f t="shared" si="33"/>
        <v>1.8993156623219978E-4</v>
      </c>
      <c r="W147" s="3"/>
      <c r="X147" s="7">
        <f t="shared" si="34"/>
        <v>279.60999999999967</v>
      </c>
      <c r="Y147" s="3"/>
      <c r="Z147" s="8">
        <f t="shared" si="35"/>
        <v>6.9902499999999923E-2</v>
      </c>
    </row>
    <row r="148" spans="1:26" s="70" customFormat="1" ht="15" hidden="1" customHeight="1" outlineLevel="2" x14ac:dyDescent="0.3">
      <c r="A148" s="26"/>
      <c r="B148" s="12" t="str">
        <f>CONCATENATE("          ","6237"," - ","JANITORIAL SUPPLIES")</f>
        <v xml:space="preserve">          6237 - JANITORIAL SUPPLIES</v>
      </c>
      <c r="C148" s="12"/>
      <c r="D148" s="7">
        <v>25364.52</v>
      </c>
      <c r="E148" s="3"/>
      <c r="F148" s="8">
        <f t="shared" si="28"/>
        <v>7.5825090802152436E-3</v>
      </c>
      <c r="G148" s="3"/>
      <c r="H148" s="7">
        <v>10035</v>
      </c>
      <c r="I148" s="3"/>
      <c r="J148" s="8">
        <f t="shared" si="29"/>
        <v>4.6441455304437971E-3</v>
      </c>
      <c r="K148" s="3"/>
      <c r="L148" s="7">
        <f t="shared" si="30"/>
        <v>15329.52</v>
      </c>
      <c r="M148" s="3"/>
      <c r="N148" s="8">
        <f t="shared" si="31"/>
        <v>1.5276053811659194</v>
      </c>
      <c r="O148" s="12"/>
      <c r="P148" s="7">
        <v>86862.79</v>
      </c>
      <c r="Q148" s="3"/>
      <c r="R148" s="8">
        <f t="shared" si="32"/>
        <v>3.9736355453472505E-3</v>
      </c>
      <c r="S148" s="3"/>
      <c r="T148" s="7">
        <v>104658</v>
      </c>
      <c r="U148" s="3"/>
      <c r="V148" s="8">
        <f t="shared" si="33"/>
        <v>4.9694644646823913E-3</v>
      </c>
      <c r="W148" s="3"/>
      <c r="X148" s="7">
        <f t="shared" si="34"/>
        <v>-17795.210000000006</v>
      </c>
      <c r="Y148" s="3"/>
      <c r="Z148" s="8">
        <f t="shared" si="35"/>
        <v>-0.17003200901985521</v>
      </c>
    </row>
    <row r="149" spans="1:26" s="70" customFormat="1" ht="15" hidden="1" customHeight="1" outlineLevel="2" x14ac:dyDescent="0.3">
      <c r="A149" s="26"/>
      <c r="B149" s="12" t="str">
        <f>CONCATENATE("          ","6239"," - ","KITCHEN SUPPLIES")</f>
        <v xml:space="preserve">          6239 - KITCHEN SUPPLIES</v>
      </c>
      <c r="C149" s="12"/>
      <c r="D149" s="7">
        <v>8107.13</v>
      </c>
      <c r="E149" s="3"/>
      <c r="F149" s="8">
        <f t="shared" si="28"/>
        <v>2.4235580582437754E-3</v>
      </c>
      <c r="G149" s="3"/>
      <c r="H149" s="7">
        <v>3300</v>
      </c>
      <c r="I149" s="3"/>
      <c r="J149" s="8">
        <f t="shared" si="29"/>
        <v>1.527222745437422E-3</v>
      </c>
      <c r="K149" s="3"/>
      <c r="L149" s="7">
        <f t="shared" si="30"/>
        <v>4807.13</v>
      </c>
      <c r="M149" s="3"/>
      <c r="N149" s="8">
        <f t="shared" si="31"/>
        <v>1.4567060606060607</v>
      </c>
      <c r="O149" s="12"/>
      <c r="P149" s="7">
        <v>44626</v>
      </c>
      <c r="Q149" s="3"/>
      <c r="R149" s="8">
        <f t="shared" si="32"/>
        <v>2.0414663154000282E-3</v>
      </c>
      <c r="S149" s="3"/>
      <c r="T149" s="7">
        <v>47449</v>
      </c>
      <c r="U149" s="3"/>
      <c r="V149" s="8">
        <f t="shared" si="33"/>
        <v>2.253015721537912E-3</v>
      </c>
      <c r="W149" s="3"/>
      <c r="X149" s="7">
        <f t="shared" si="34"/>
        <v>-2823</v>
      </c>
      <c r="Y149" s="3"/>
      <c r="Z149" s="8">
        <f t="shared" si="35"/>
        <v>-5.949545828152332E-2</v>
      </c>
    </row>
    <row r="150" spans="1:26" s="70" customFormat="1" ht="15" hidden="1" customHeight="1" outlineLevel="2" x14ac:dyDescent="0.3">
      <c r="A150" s="26"/>
      <c r="B150" s="12" t="str">
        <f>CONCATENATE("          ","6241"," - ","OFFICE EXPENSE")</f>
        <v xml:space="preserve">          6241 - OFFICE EXPENSE</v>
      </c>
      <c r="C150" s="12"/>
      <c r="D150" s="7">
        <v>3964.42</v>
      </c>
      <c r="E150" s="3"/>
      <c r="F150" s="8">
        <f t="shared" si="28"/>
        <v>1.185129884097429E-3</v>
      </c>
      <c r="G150" s="3"/>
      <c r="H150" s="7">
        <v>2025</v>
      </c>
      <c r="I150" s="3"/>
      <c r="J150" s="8">
        <f t="shared" si="29"/>
        <v>9.3715941197296357E-4</v>
      </c>
      <c r="K150" s="3"/>
      <c r="L150" s="7">
        <f t="shared" si="30"/>
        <v>1939.42</v>
      </c>
      <c r="M150" s="3"/>
      <c r="N150" s="8">
        <f t="shared" si="31"/>
        <v>0.9577382716049383</v>
      </c>
      <c r="O150" s="12"/>
      <c r="P150" s="7">
        <v>73668.27</v>
      </c>
      <c r="Q150" s="3"/>
      <c r="R150" s="8">
        <f t="shared" si="32"/>
        <v>3.3700374606461352E-3</v>
      </c>
      <c r="S150" s="3"/>
      <c r="T150" s="7">
        <v>24677</v>
      </c>
      <c r="U150" s="3"/>
      <c r="V150" s="8">
        <f t="shared" si="33"/>
        <v>1.1717353149779985E-3</v>
      </c>
      <c r="W150" s="3"/>
      <c r="X150" s="7">
        <f t="shared" si="34"/>
        <v>48991.270000000004</v>
      </c>
      <c r="Y150" s="3"/>
      <c r="Z150" s="8">
        <f t="shared" si="35"/>
        <v>1.9853008874660616</v>
      </c>
    </row>
    <row r="151" spans="1:26" s="70" customFormat="1" ht="15" hidden="1" customHeight="1" outlineLevel="2" x14ac:dyDescent="0.3">
      <c r="A151" s="26"/>
      <c r="B151" s="12" t="str">
        <f>CONCATENATE("          ","6243"," - ","PAPER SUPPLIES")</f>
        <v xml:space="preserve">          6243 - PAPER SUPPLIES</v>
      </c>
      <c r="C151" s="12"/>
      <c r="D151" s="7">
        <v>14135.35</v>
      </c>
      <c r="E151" s="3"/>
      <c r="F151" s="8">
        <f t="shared" si="28"/>
        <v>4.22564352595754E-3</v>
      </c>
      <c r="G151" s="3"/>
      <c r="H151" s="7">
        <v>18300</v>
      </c>
      <c r="I151" s="3"/>
      <c r="J151" s="8">
        <f t="shared" si="29"/>
        <v>8.4691443156075224E-3</v>
      </c>
      <c r="K151" s="3"/>
      <c r="L151" s="7">
        <f t="shared" si="30"/>
        <v>-4164.6499999999996</v>
      </c>
      <c r="M151" s="3"/>
      <c r="N151" s="8">
        <f t="shared" si="31"/>
        <v>-0.22757650273224042</v>
      </c>
      <c r="O151" s="12"/>
      <c r="P151" s="7">
        <v>186444.68</v>
      </c>
      <c r="Q151" s="3"/>
      <c r="R151" s="8">
        <f t="shared" si="32"/>
        <v>8.5291205554057573E-3</v>
      </c>
      <c r="S151" s="3"/>
      <c r="T151" s="7">
        <v>174783</v>
      </c>
      <c r="U151" s="3"/>
      <c r="V151" s="8">
        <f t="shared" si="33"/>
        <v>8.2992022351906433E-3</v>
      </c>
      <c r="W151" s="3"/>
      <c r="X151" s="7">
        <f t="shared" si="34"/>
        <v>11661.679999999993</v>
      </c>
      <c r="Y151" s="3"/>
      <c r="Z151" s="8">
        <f t="shared" si="35"/>
        <v>6.672090535120688E-2</v>
      </c>
    </row>
    <row r="152" spans="1:26" s="70" customFormat="1" ht="15" hidden="1" customHeight="1" outlineLevel="2" x14ac:dyDescent="0.3">
      <c r="A152" s="26"/>
      <c r="B152" s="12" t="str">
        <f>CONCATENATE("          ","6244"," - ","SAFETY SUPPLY EXPENSE")</f>
        <v xml:space="preserve">          6244 - SAFETY SUPPLY EXPENSE</v>
      </c>
      <c r="C152" s="12"/>
      <c r="D152" s="7"/>
      <c r="E152" s="3"/>
      <c r="F152" s="8">
        <f t="shared" si="28"/>
        <v>0</v>
      </c>
      <c r="G152" s="3"/>
      <c r="H152" s="7">
        <v>575</v>
      </c>
      <c r="I152" s="3"/>
      <c r="J152" s="8">
        <f t="shared" si="29"/>
        <v>2.6610699352318717E-4</v>
      </c>
      <c r="K152" s="3"/>
      <c r="L152" s="7">
        <f t="shared" si="30"/>
        <v>-575</v>
      </c>
      <c r="M152" s="3"/>
      <c r="N152" s="8">
        <f t="shared" si="31"/>
        <v>-1</v>
      </c>
      <c r="O152" s="12"/>
      <c r="P152" s="7"/>
      <c r="Q152" s="3"/>
      <c r="R152" s="8">
        <f t="shared" si="32"/>
        <v>0</v>
      </c>
      <c r="S152" s="3"/>
      <c r="T152" s="7">
        <v>5400</v>
      </c>
      <c r="U152" s="3"/>
      <c r="V152" s="8">
        <f t="shared" si="33"/>
        <v>2.564076144134697E-4</v>
      </c>
      <c r="W152" s="3"/>
      <c r="X152" s="7">
        <f t="shared" si="34"/>
        <v>-5400</v>
      </c>
      <c r="Y152" s="3"/>
      <c r="Z152" s="8">
        <f t="shared" si="35"/>
        <v>-1</v>
      </c>
    </row>
    <row r="153" spans="1:26" s="70" customFormat="1" ht="15" hidden="1" customHeight="1" outlineLevel="2" x14ac:dyDescent="0.3">
      <c r="A153" s="26"/>
      <c r="B153" s="12" t="str">
        <f>CONCATENATE("          ","6245"," - ","PRINTING")</f>
        <v xml:space="preserve">          6245 - PRINTING</v>
      </c>
      <c r="C153" s="12"/>
      <c r="D153" s="7">
        <v>-45.84</v>
      </c>
      <c r="E153" s="3"/>
      <c r="F153" s="8">
        <f t="shared" si="28"/>
        <v>-1.3703480934670429E-5</v>
      </c>
      <c r="G153" s="3"/>
      <c r="H153" s="7">
        <v>150</v>
      </c>
      <c r="I153" s="3"/>
      <c r="J153" s="8">
        <f t="shared" si="29"/>
        <v>6.9419215701701001E-5</v>
      </c>
      <c r="K153" s="3"/>
      <c r="L153" s="7">
        <f t="shared" si="30"/>
        <v>-195.84</v>
      </c>
      <c r="M153" s="3"/>
      <c r="N153" s="8">
        <f t="shared" si="31"/>
        <v>-1.3056000000000001</v>
      </c>
      <c r="O153" s="12"/>
      <c r="P153" s="7">
        <v>8011.68</v>
      </c>
      <c r="Q153" s="3"/>
      <c r="R153" s="8">
        <f t="shared" si="32"/>
        <v>3.6650326826881408E-4</v>
      </c>
      <c r="S153" s="3"/>
      <c r="T153" s="7">
        <v>9845</v>
      </c>
      <c r="U153" s="3"/>
      <c r="V153" s="8">
        <f t="shared" si="33"/>
        <v>4.6746906738900175E-4</v>
      </c>
      <c r="W153" s="3"/>
      <c r="X153" s="7">
        <f t="shared" si="34"/>
        <v>-1833.3199999999997</v>
      </c>
      <c r="Y153" s="3"/>
      <c r="Z153" s="8">
        <f t="shared" si="35"/>
        <v>-0.18621838496698828</v>
      </c>
    </row>
    <row r="154" spans="1:26" s="70" customFormat="1" ht="15" hidden="1" customHeight="1" outlineLevel="2" x14ac:dyDescent="0.3">
      <c r="A154" s="26"/>
      <c r="B154" s="12" t="str">
        <f>CONCATENATE("          ","6247"," - ","STORE SUPPLIES")</f>
        <v xml:space="preserve">          6247 - STORE SUPPLIES</v>
      </c>
      <c r="C154" s="12"/>
      <c r="D154" s="7">
        <v>1498.16</v>
      </c>
      <c r="E154" s="3"/>
      <c r="F154" s="8">
        <f t="shared" si="28"/>
        <v>4.4786228178634056E-4</v>
      </c>
      <c r="G154" s="3"/>
      <c r="H154" s="7">
        <v>7275</v>
      </c>
      <c r="I154" s="3"/>
      <c r="J154" s="8">
        <f t="shared" si="29"/>
        <v>3.3668319615324984E-3</v>
      </c>
      <c r="K154" s="3"/>
      <c r="L154" s="7">
        <f t="shared" si="30"/>
        <v>-5776.84</v>
      </c>
      <c r="M154" s="3"/>
      <c r="N154" s="8">
        <f t="shared" si="31"/>
        <v>-0.7940673539518901</v>
      </c>
      <c r="O154" s="12"/>
      <c r="P154" s="7">
        <v>55225.84</v>
      </c>
      <c r="Q154" s="3"/>
      <c r="R154" s="8">
        <f t="shared" si="32"/>
        <v>2.526367859536402E-3</v>
      </c>
      <c r="S154" s="3"/>
      <c r="T154" s="7">
        <v>76316</v>
      </c>
      <c r="U154" s="3"/>
      <c r="V154" s="8">
        <f t="shared" si="33"/>
        <v>3.62370435214414E-3</v>
      </c>
      <c r="W154" s="3"/>
      <c r="X154" s="7">
        <f t="shared" si="34"/>
        <v>-21090.160000000003</v>
      </c>
      <c r="Y154" s="3"/>
      <c r="Z154" s="8">
        <f t="shared" si="35"/>
        <v>-0.27635305833639084</v>
      </c>
    </row>
    <row r="155" spans="1:26" s="70" customFormat="1" ht="15" hidden="1" customHeight="1" outlineLevel="2" x14ac:dyDescent="0.3">
      <c r="A155" s="26"/>
      <c r="B155" s="12" t="str">
        <f>CONCATENATE("          ","6248"," - ","UNIFORMS")</f>
        <v xml:space="preserve">          6248 - UNIFORMS</v>
      </c>
      <c r="C155" s="12"/>
      <c r="D155" s="7">
        <v>198.45</v>
      </c>
      <c r="E155" s="3"/>
      <c r="F155" s="8">
        <f t="shared" si="28"/>
        <v>5.9324951821233562E-5</v>
      </c>
      <c r="G155" s="3"/>
      <c r="H155" s="7">
        <v>588</v>
      </c>
      <c r="I155" s="3"/>
      <c r="J155" s="8">
        <f t="shared" si="29"/>
        <v>2.7212332555066795E-4</v>
      </c>
      <c r="K155" s="3"/>
      <c r="L155" s="7">
        <f t="shared" si="30"/>
        <v>-389.55</v>
      </c>
      <c r="M155" s="3"/>
      <c r="N155" s="8">
        <f t="shared" si="31"/>
        <v>-0.66249999999999998</v>
      </c>
      <c r="O155" s="12"/>
      <c r="P155" s="7">
        <v>9531.84</v>
      </c>
      <c r="Q155" s="3"/>
      <c r="R155" s="8">
        <f t="shared" si="32"/>
        <v>4.3604468883123301E-4</v>
      </c>
      <c r="S155" s="3"/>
      <c r="T155" s="7">
        <v>9730</v>
      </c>
      <c r="U155" s="3"/>
      <c r="V155" s="8">
        <f t="shared" si="33"/>
        <v>4.62008534859826E-4</v>
      </c>
      <c r="W155" s="3"/>
      <c r="X155" s="7">
        <f t="shared" si="34"/>
        <v>-198.15999999999985</v>
      </c>
      <c r="Y155" s="3"/>
      <c r="Z155" s="8">
        <f t="shared" si="35"/>
        <v>-2.0365878725590942E-2</v>
      </c>
    </row>
    <row r="156" spans="1:26" s="69" customFormat="1" ht="15" customHeight="1" outlineLevel="1" collapsed="1" x14ac:dyDescent="0.3">
      <c r="A156" s="25"/>
      <c r="B156" s="14" t="str">
        <f>CONCATENATE("     ","Telephone/Data Lines                              ")</f>
        <v xml:space="preserve">     Telephone/Data Lines                              </v>
      </c>
      <c r="C156" s="14"/>
      <c r="D156" s="2">
        <f>SUM(OSRRefD22_23x_0)</f>
        <v>4995.8500000000004</v>
      </c>
      <c r="E156" s="2"/>
      <c r="F156" s="6">
        <f t="shared" si="28"/>
        <v>1.4934671733741987E-3</v>
      </c>
      <c r="G156" s="2"/>
      <c r="H156" s="2">
        <f>SUM(OSRRefH22_23x_0)</f>
        <v>3549</v>
      </c>
      <c r="I156" s="2"/>
      <c r="J156" s="6">
        <f t="shared" si="29"/>
        <v>1.6424586435022457E-3</v>
      </c>
      <c r="K156" s="2"/>
      <c r="L156" s="2">
        <f t="shared" si="30"/>
        <v>1446.8500000000004</v>
      </c>
      <c r="M156" s="2"/>
      <c r="N156" s="6">
        <f t="shared" si="31"/>
        <v>0.40767821921668085</v>
      </c>
      <c r="O156" s="14"/>
      <c r="P156" s="2">
        <f>SUM(OSRRefP22_23x_0)</f>
        <v>37081.65</v>
      </c>
      <c r="Q156" s="2"/>
      <c r="R156" s="6">
        <f t="shared" si="32"/>
        <v>1.6963415810167493E-3</v>
      </c>
      <c r="S156" s="2"/>
      <c r="T156" s="2">
        <f>SUM(OSRRefT22_23x_0)</f>
        <v>36540</v>
      </c>
      <c r="U156" s="2"/>
      <c r="V156" s="6">
        <f t="shared" si="33"/>
        <v>1.735024857531145E-3</v>
      </c>
      <c r="W156" s="2"/>
      <c r="X156" s="2">
        <f t="shared" si="34"/>
        <v>541.65000000000146</v>
      </c>
      <c r="Y156" s="2"/>
      <c r="Z156" s="6">
        <f t="shared" si="35"/>
        <v>1.4823481116584604E-2</v>
      </c>
    </row>
    <row r="157" spans="1:26" s="70" customFormat="1" ht="15" hidden="1" customHeight="1" outlineLevel="2" x14ac:dyDescent="0.3">
      <c r="A157" s="26"/>
      <c r="B157" s="12" t="str">
        <f>CONCATENATE("          ","6303"," - ","DATA PHONE LINES")</f>
        <v xml:space="preserve">          6303 - DATA PHONE LINES</v>
      </c>
      <c r="C157" s="12"/>
      <c r="D157" s="7"/>
      <c r="E157" s="3"/>
      <c r="F157" s="8">
        <f t="shared" si="28"/>
        <v>0</v>
      </c>
      <c r="G157" s="3"/>
      <c r="H157" s="7">
        <v>243</v>
      </c>
      <c r="I157" s="3"/>
      <c r="J157" s="8">
        <f t="shared" si="29"/>
        <v>1.1245912943675563E-4</v>
      </c>
      <c r="K157" s="3"/>
      <c r="L157" s="7">
        <f t="shared" si="30"/>
        <v>-243</v>
      </c>
      <c r="M157" s="3"/>
      <c r="N157" s="8">
        <f t="shared" si="31"/>
        <v>-1</v>
      </c>
      <c r="O157" s="12"/>
      <c r="P157" s="7">
        <v>295</v>
      </c>
      <c r="Q157" s="3"/>
      <c r="R157" s="8">
        <f t="shared" si="32"/>
        <v>1.3495105163873265E-5</v>
      </c>
      <c r="S157" s="3"/>
      <c r="T157" s="7">
        <v>2430</v>
      </c>
      <c r="U157" s="3"/>
      <c r="V157" s="8">
        <f t="shared" si="33"/>
        <v>1.1538342648606137E-4</v>
      </c>
      <c r="W157" s="3"/>
      <c r="X157" s="7">
        <f t="shared" si="34"/>
        <v>-2135</v>
      </c>
      <c r="Y157" s="3"/>
      <c r="Z157" s="8">
        <f t="shared" si="35"/>
        <v>-0.87860082304526754</v>
      </c>
    </row>
    <row r="158" spans="1:26" s="70" customFormat="1" ht="15" hidden="1" customHeight="1" outlineLevel="2" x14ac:dyDescent="0.3">
      <c r="A158" s="26"/>
      <c r="B158" s="12" t="str">
        <f>CONCATENATE("          ","6309"," - ","TELEPHONE")</f>
        <v xml:space="preserve">          6309 - TELEPHONE</v>
      </c>
      <c r="C158" s="12"/>
      <c r="D158" s="7">
        <v>4995.8500000000004</v>
      </c>
      <c r="E158" s="3"/>
      <c r="F158" s="8">
        <f t="shared" si="28"/>
        <v>1.4934671733741987E-3</v>
      </c>
      <c r="G158" s="3"/>
      <c r="H158" s="7">
        <v>3306</v>
      </c>
      <c r="I158" s="3"/>
      <c r="J158" s="8">
        <f t="shared" si="29"/>
        <v>1.52999951406549E-3</v>
      </c>
      <c r="K158" s="3"/>
      <c r="L158" s="7">
        <f t="shared" si="30"/>
        <v>1689.8500000000004</v>
      </c>
      <c r="M158" s="3"/>
      <c r="N158" s="8">
        <f t="shared" si="31"/>
        <v>0.51114640048396864</v>
      </c>
      <c r="O158" s="12"/>
      <c r="P158" s="7">
        <v>36786.65</v>
      </c>
      <c r="Q158" s="3"/>
      <c r="R158" s="8">
        <f t="shared" si="32"/>
        <v>1.682846475852876E-3</v>
      </c>
      <c r="S158" s="3"/>
      <c r="T158" s="7">
        <v>34110</v>
      </c>
      <c r="U158" s="3"/>
      <c r="V158" s="8">
        <f t="shared" si="33"/>
        <v>1.6196414310450837E-3</v>
      </c>
      <c r="W158" s="3"/>
      <c r="X158" s="7">
        <f t="shared" si="34"/>
        <v>2676.6500000000015</v>
      </c>
      <c r="Y158" s="3"/>
      <c r="Z158" s="8">
        <f t="shared" si="35"/>
        <v>7.8471122837877494E-2</v>
      </c>
    </row>
    <row r="159" spans="1:26" s="69" customFormat="1" ht="15" customHeight="1" outlineLevel="1" collapsed="1" x14ac:dyDescent="0.3">
      <c r="A159" s="25"/>
      <c r="B159" s="14" t="str">
        <f>CONCATENATE("     ","Training                                          ")</f>
        <v xml:space="preserve">     Training                                          </v>
      </c>
      <c r="C159" s="14"/>
      <c r="D159" s="2">
        <f>SUM(OSRRefD22_24x_0)</f>
        <v>1076.95</v>
      </c>
      <c r="E159" s="2"/>
      <c r="F159" s="6">
        <f t="shared" si="28"/>
        <v>3.2194510891346681E-4</v>
      </c>
      <c r="G159" s="2"/>
      <c r="H159" s="2">
        <f>SUM(OSRRefH22_24x_0)</f>
        <v>2115</v>
      </c>
      <c r="I159" s="2"/>
      <c r="J159" s="6">
        <f t="shared" si="29"/>
        <v>9.7881094139398413E-4</v>
      </c>
      <c r="K159" s="2"/>
      <c r="L159" s="2">
        <f t="shared" si="30"/>
        <v>-1038.05</v>
      </c>
      <c r="M159" s="2"/>
      <c r="N159" s="6">
        <f t="shared" si="31"/>
        <v>-0.49080378250591017</v>
      </c>
      <c r="O159" s="14"/>
      <c r="P159" s="2">
        <f>SUM(OSRRefP22_24x_0)</f>
        <v>12829.92</v>
      </c>
      <c r="Q159" s="2"/>
      <c r="R159" s="6">
        <f t="shared" si="32"/>
        <v>5.8691904964095214E-4</v>
      </c>
      <c r="S159" s="2"/>
      <c r="T159" s="2">
        <f>SUM(OSRRefT22_24x_0)</f>
        <v>19180</v>
      </c>
      <c r="U159" s="2"/>
      <c r="V159" s="6">
        <f t="shared" si="33"/>
        <v>9.1072186008339803E-4</v>
      </c>
      <c r="W159" s="2"/>
      <c r="X159" s="2">
        <f t="shared" si="34"/>
        <v>-6350.08</v>
      </c>
      <c r="Y159" s="2"/>
      <c r="Z159" s="6">
        <f t="shared" si="35"/>
        <v>-0.33107820646506775</v>
      </c>
    </row>
    <row r="160" spans="1:26" s="70" customFormat="1" ht="15" hidden="1" customHeight="1" outlineLevel="2" x14ac:dyDescent="0.3">
      <c r="A160" s="26"/>
      <c r="B160" s="12" t="str">
        <f>CONCATENATE("          ","6376"," - ","TRAINING")</f>
        <v xml:space="preserve">          6376 - TRAINING</v>
      </c>
      <c r="C160" s="12"/>
      <c r="D160" s="7">
        <v>1076.95</v>
      </c>
      <c r="E160" s="3"/>
      <c r="F160" s="8">
        <f t="shared" si="28"/>
        <v>3.2194510891346681E-4</v>
      </c>
      <c r="G160" s="3"/>
      <c r="H160" s="7">
        <v>2115</v>
      </c>
      <c r="I160" s="3"/>
      <c r="J160" s="8">
        <f t="shared" si="29"/>
        <v>9.7881094139398413E-4</v>
      </c>
      <c r="K160" s="3"/>
      <c r="L160" s="7">
        <f t="shared" si="30"/>
        <v>-1038.05</v>
      </c>
      <c r="M160" s="3"/>
      <c r="N160" s="8">
        <f t="shared" si="31"/>
        <v>-0.49080378250591017</v>
      </c>
      <c r="O160" s="12"/>
      <c r="P160" s="7">
        <v>12829.92</v>
      </c>
      <c r="Q160" s="3"/>
      <c r="R160" s="8">
        <f t="shared" si="32"/>
        <v>5.8691904964095214E-4</v>
      </c>
      <c r="S160" s="3"/>
      <c r="T160" s="7">
        <v>19180</v>
      </c>
      <c r="U160" s="3"/>
      <c r="V160" s="8">
        <f t="shared" si="33"/>
        <v>9.1072186008339803E-4</v>
      </c>
      <c r="W160" s="3"/>
      <c r="X160" s="7">
        <f t="shared" si="34"/>
        <v>-6350.08</v>
      </c>
      <c r="Y160" s="3"/>
      <c r="Z160" s="8">
        <f t="shared" si="35"/>
        <v>-0.33107820646506775</v>
      </c>
    </row>
    <row r="161" spans="1:26" s="69" customFormat="1" ht="15" customHeight="1" outlineLevel="1" collapsed="1" x14ac:dyDescent="0.3">
      <c r="A161" s="25"/>
      <c r="B161" s="14" t="str">
        <f>CONCATENATE("     ","Travel                                            ")</f>
        <v xml:space="preserve">     Travel                                            </v>
      </c>
      <c r="C161" s="14"/>
      <c r="D161" s="2">
        <f>SUM(OSRRefD22_25x_0)</f>
        <v>149.41</v>
      </c>
      <c r="E161" s="2"/>
      <c r="F161" s="6">
        <f t="shared" si="28"/>
        <v>4.4664857906830467E-5</v>
      </c>
      <c r="G161" s="2"/>
      <c r="H161" s="2">
        <f>SUM(OSRRefH22_25x_0)</f>
        <v>175</v>
      </c>
      <c r="I161" s="2"/>
      <c r="J161" s="6">
        <f t="shared" si="29"/>
        <v>8.0989084985317835E-5</v>
      </c>
      <c r="K161" s="2"/>
      <c r="L161" s="2">
        <f t="shared" si="30"/>
        <v>-25.590000000000003</v>
      </c>
      <c r="M161" s="2"/>
      <c r="N161" s="6">
        <f t="shared" si="31"/>
        <v>-0.14622857142857146</v>
      </c>
      <c r="O161" s="14"/>
      <c r="P161" s="2">
        <f>SUM(OSRRefP22_25x_0)</f>
        <v>2260.2600000000002</v>
      </c>
      <c r="Q161" s="2"/>
      <c r="R161" s="6">
        <f t="shared" si="32"/>
        <v>1.0339812338202096E-4</v>
      </c>
      <c r="S161" s="2"/>
      <c r="T161" s="2">
        <f>SUM(OSRRefT22_25x_0)</f>
        <v>3200</v>
      </c>
      <c r="U161" s="2"/>
      <c r="V161" s="6">
        <f t="shared" si="33"/>
        <v>1.5194525298575985E-4</v>
      </c>
      <c r="W161" s="2"/>
      <c r="X161" s="2">
        <f t="shared" si="34"/>
        <v>-939.73999999999978</v>
      </c>
      <c r="Y161" s="2"/>
      <c r="Z161" s="6">
        <f t="shared" si="35"/>
        <v>-0.29366874999999992</v>
      </c>
    </row>
    <row r="162" spans="1:26" s="70" customFormat="1" ht="15" hidden="1" customHeight="1" outlineLevel="2" x14ac:dyDescent="0.3">
      <c r="A162" s="26"/>
      <c r="B162" s="12" t="str">
        <f>CONCATENATE("          ","6292"," - ","TRAVEL/CONFERENCE")</f>
        <v xml:space="preserve">          6292 - TRAVEL/CONFERENCE</v>
      </c>
      <c r="C162" s="12"/>
      <c r="D162" s="7"/>
      <c r="E162" s="3"/>
      <c r="F162" s="8">
        <f t="shared" si="28"/>
        <v>0</v>
      </c>
      <c r="G162" s="3"/>
      <c r="H162" s="7">
        <v>125</v>
      </c>
      <c r="I162" s="3"/>
      <c r="J162" s="8">
        <f t="shared" si="29"/>
        <v>5.7849346418084168E-5</v>
      </c>
      <c r="K162" s="3"/>
      <c r="L162" s="7">
        <f t="shared" si="30"/>
        <v>-125</v>
      </c>
      <c r="M162" s="3"/>
      <c r="N162" s="8">
        <f t="shared" si="31"/>
        <v>-1</v>
      </c>
      <c r="O162" s="12"/>
      <c r="P162" s="7">
        <v>1108.5899999999999</v>
      </c>
      <c r="Q162" s="3"/>
      <c r="R162" s="8">
        <f t="shared" si="32"/>
        <v>5.071369028345173E-5</v>
      </c>
      <c r="S162" s="3"/>
      <c r="T162" s="7">
        <v>2450</v>
      </c>
      <c r="U162" s="3"/>
      <c r="V162" s="8">
        <f t="shared" si="33"/>
        <v>1.1633308431722238E-4</v>
      </c>
      <c r="W162" s="3"/>
      <c r="X162" s="7">
        <f t="shared" si="34"/>
        <v>-1341.41</v>
      </c>
      <c r="Y162" s="3"/>
      <c r="Z162" s="8">
        <f t="shared" si="35"/>
        <v>-0.54751428571428573</v>
      </c>
    </row>
    <row r="163" spans="1:26" s="70" customFormat="1" ht="15" hidden="1" customHeight="1" outlineLevel="2" x14ac:dyDescent="0.3">
      <c r="A163" s="26"/>
      <c r="B163" s="12" t="str">
        <f>CONCATENATE("          ","6294"," - ","TRAVEL OPERATIONAL")</f>
        <v xml:space="preserve">          6294 - TRAVEL OPERATIONAL</v>
      </c>
      <c r="C163" s="12"/>
      <c r="D163" s="7"/>
      <c r="E163" s="3"/>
      <c r="F163" s="8">
        <f t="shared" si="28"/>
        <v>0</v>
      </c>
      <c r="G163" s="3"/>
      <c r="H163" s="7">
        <v>25</v>
      </c>
      <c r="I163" s="3"/>
      <c r="J163" s="8">
        <f t="shared" si="29"/>
        <v>1.1569869283616834E-5</v>
      </c>
      <c r="K163" s="3"/>
      <c r="L163" s="7">
        <f t="shared" si="30"/>
        <v>-25</v>
      </c>
      <c r="M163" s="3"/>
      <c r="N163" s="8">
        <f t="shared" si="31"/>
        <v>-1</v>
      </c>
      <c r="O163" s="12"/>
      <c r="P163" s="7">
        <v>403.48</v>
      </c>
      <c r="Q163" s="3"/>
      <c r="R163" s="8">
        <f t="shared" si="32"/>
        <v>1.845764417464266E-5</v>
      </c>
      <c r="S163" s="3"/>
      <c r="T163" s="7">
        <v>250</v>
      </c>
      <c r="U163" s="3"/>
      <c r="V163" s="8">
        <f t="shared" si="33"/>
        <v>1.1870722889512486E-5</v>
      </c>
      <c r="W163" s="3"/>
      <c r="X163" s="7">
        <f t="shared" si="34"/>
        <v>153.48000000000002</v>
      </c>
      <c r="Y163" s="3"/>
      <c r="Z163" s="8">
        <f t="shared" si="35"/>
        <v>0.61392000000000002</v>
      </c>
    </row>
    <row r="164" spans="1:26" s="70" customFormat="1" ht="15" hidden="1" customHeight="1" outlineLevel="2" x14ac:dyDescent="0.3">
      <c r="A164" s="26"/>
      <c r="B164" s="12" t="str">
        <f>CONCATENATE("          ","6298"," - ","VEHICLE MILEAGE")</f>
        <v xml:space="preserve">          6298 - VEHICLE MILEAGE</v>
      </c>
      <c r="C164" s="12"/>
      <c r="D164" s="7">
        <v>149.41</v>
      </c>
      <c r="E164" s="3"/>
      <c r="F164" s="8">
        <f t="shared" si="28"/>
        <v>4.4664857906830467E-5</v>
      </c>
      <c r="G164" s="3"/>
      <c r="H164" s="7">
        <v>25</v>
      </c>
      <c r="I164" s="3"/>
      <c r="J164" s="8">
        <f t="shared" si="29"/>
        <v>1.1569869283616834E-5</v>
      </c>
      <c r="K164" s="3"/>
      <c r="L164" s="7">
        <f t="shared" si="30"/>
        <v>124.41</v>
      </c>
      <c r="M164" s="3"/>
      <c r="N164" s="8">
        <f t="shared" si="31"/>
        <v>4.9763999999999999</v>
      </c>
      <c r="O164" s="12"/>
      <c r="P164" s="7">
        <v>748.19</v>
      </c>
      <c r="Q164" s="3"/>
      <c r="R164" s="8">
        <f t="shared" si="32"/>
        <v>3.4226788923926567E-5</v>
      </c>
      <c r="S164" s="3"/>
      <c r="T164" s="7">
        <v>500</v>
      </c>
      <c r="U164" s="3"/>
      <c r="V164" s="8">
        <f t="shared" si="33"/>
        <v>2.3741445779024973E-5</v>
      </c>
      <c r="W164" s="3"/>
      <c r="X164" s="7">
        <f t="shared" si="34"/>
        <v>248.19000000000005</v>
      </c>
      <c r="Y164" s="3"/>
      <c r="Z164" s="8">
        <f t="shared" si="35"/>
        <v>0.4963800000000001</v>
      </c>
    </row>
    <row r="165" spans="1:26" s="69" customFormat="1" ht="15" customHeight="1" outlineLevel="1" collapsed="1" x14ac:dyDescent="0.3">
      <c r="A165" s="25"/>
      <c r="B165" s="14" t="str">
        <f>CONCATENATE("     ","Utilities                                         ")</f>
        <v xml:space="preserve">     Utilities                                         </v>
      </c>
      <c r="C165" s="14"/>
      <c r="D165" s="2">
        <f>SUM(OSRRefD22_26x_0)</f>
        <v>14504.32</v>
      </c>
      <c r="E165" s="2"/>
      <c r="F165" s="6">
        <f t="shared" si="28"/>
        <v>4.335943991936278E-3</v>
      </c>
      <c r="G165" s="2"/>
      <c r="H165" s="2">
        <f>SUM(OSRRefH22_26x_0)</f>
        <v>14787</v>
      </c>
      <c r="I165" s="2"/>
      <c r="J165" s="6">
        <f t="shared" si="29"/>
        <v>6.8433462838736851E-3</v>
      </c>
      <c r="K165" s="2"/>
      <c r="L165" s="2">
        <f t="shared" si="30"/>
        <v>-282.68000000000029</v>
      </c>
      <c r="M165" s="2"/>
      <c r="N165" s="6">
        <f t="shared" si="31"/>
        <v>-1.9116791776560511E-2</v>
      </c>
      <c r="O165" s="14"/>
      <c r="P165" s="2">
        <f>SUM(OSRRefP22_26x_0)</f>
        <v>135387.22</v>
      </c>
      <c r="Q165" s="2"/>
      <c r="R165" s="6">
        <f t="shared" si="32"/>
        <v>6.1934399042184599E-3</v>
      </c>
      <c r="S165" s="2"/>
      <c r="T165" s="2">
        <f>SUM(OSRRefT22_26x_0)</f>
        <v>150550</v>
      </c>
      <c r="U165" s="2"/>
      <c r="V165" s="6">
        <f t="shared" si="33"/>
        <v>7.14854932406442E-3</v>
      </c>
      <c r="W165" s="2"/>
      <c r="X165" s="2">
        <f t="shared" si="34"/>
        <v>-15162.779999999999</v>
      </c>
      <c r="Y165" s="2"/>
      <c r="Z165" s="6">
        <f t="shared" si="35"/>
        <v>-0.10071590833610096</v>
      </c>
    </row>
    <row r="166" spans="1:26" s="70" customFormat="1" ht="15" hidden="1" customHeight="1" outlineLevel="2" x14ac:dyDescent="0.3">
      <c r="A166" s="26"/>
      <c r="B166" s="12" t="str">
        <f>CONCATENATE("          ","6274"," - ","UTILITIES")</f>
        <v xml:space="preserve">          6274 - UTILITIES</v>
      </c>
      <c r="C166" s="12"/>
      <c r="D166" s="7">
        <v>14504.32</v>
      </c>
      <c r="E166" s="3"/>
      <c r="F166" s="8">
        <f t="shared" si="28"/>
        <v>4.335943991936278E-3</v>
      </c>
      <c r="G166" s="3"/>
      <c r="H166" s="7">
        <v>14787</v>
      </c>
      <c r="I166" s="3"/>
      <c r="J166" s="8">
        <f t="shared" si="29"/>
        <v>6.8433462838736851E-3</v>
      </c>
      <c r="K166" s="3"/>
      <c r="L166" s="7">
        <f t="shared" si="30"/>
        <v>-282.68000000000029</v>
      </c>
      <c r="M166" s="3"/>
      <c r="N166" s="8">
        <f t="shared" si="31"/>
        <v>-1.9116791776560511E-2</v>
      </c>
      <c r="O166" s="12"/>
      <c r="P166" s="7">
        <v>135387.22</v>
      </c>
      <c r="Q166" s="3"/>
      <c r="R166" s="8">
        <f t="shared" si="32"/>
        <v>6.1934399042184599E-3</v>
      </c>
      <c r="S166" s="3"/>
      <c r="T166" s="7">
        <v>150550</v>
      </c>
      <c r="U166" s="3"/>
      <c r="V166" s="8">
        <f t="shared" si="33"/>
        <v>7.14854932406442E-3</v>
      </c>
      <c r="W166" s="3"/>
      <c r="X166" s="7">
        <f t="shared" si="34"/>
        <v>-15162.779999999999</v>
      </c>
      <c r="Y166" s="3"/>
      <c r="Z166" s="8">
        <f t="shared" si="35"/>
        <v>-0.10071590833610096</v>
      </c>
    </row>
    <row r="167" spans="1:26" s="65" customFormat="1" ht="15" customHeight="1" x14ac:dyDescent="0.3">
      <c r="A167" s="35"/>
      <c r="B167" s="35"/>
      <c r="C167" s="35"/>
      <c r="D167" s="2"/>
      <c r="E167" s="2"/>
      <c r="F167" s="6"/>
      <c r="G167" s="2"/>
      <c r="H167" s="2"/>
      <c r="I167" s="2"/>
      <c r="J167" s="6"/>
      <c r="K167" s="2"/>
      <c r="L167" s="2"/>
      <c r="M167" s="2"/>
      <c r="N167" s="6"/>
      <c r="O167" s="35"/>
      <c r="P167" s="2"/>
      <c r="Q167" s="2"/>
      <c r="R167" s="6"/>
      <c r="S167" s="2"/>
      <c r="T167" s="2"/>
      <c r="U167" s="2"/>
      <c r="V167" s="6"/>
      <c r="W167" s="2"/>
      <c r="X167" s="2"/>
      <c r="Y167" s="2"/>
      <c r="Z167" s="6"/>
    </row>
    <row r="168" spans="1:26" s="63" customFormat="1" ht="15" customHeight="1" collapsed="1" x14ac:dyDescent="0.3">
      <c r="A168" s="11"/>
      <c r="B168" s="28" t="s">
        <v>291</v>
      </c>
      <c r="C168" s="11"/>
      <c r="D168" s="5">
        <f>SUM(OSRRefD25x_0)</f>
        <v>64794.100000000006</v>
      </c>
      <c r="E168" s="5"/>
      <c r="F168" s="13">
        <f t="shared" ref="F168:F176" si="36">IF(D$12=0,0,D168/D$12)</f>
        <v>1.936964908440509E-2</v>
      </c>
      <c r="G168" s="5"/>
      <c r="H168" s="5">
        <f>SUM(OSRRefH25x_0)</f>
        <v>65935.13</v>
      </c>
      <c r="I168" s="5"/>
      <c r="J168" s="13">
        <f t="shared" ref="J168:J176" si="37">IF(H$12=0,0,H168/H$12)</f>
        <v>3.0514433411931313E-2</v>
      </c>
      <c r="K168" s="5"/>
      <c r="L168" s="5">
        <f t="shared" ref="L168:L176" si="38">+D168-H168</f>
        <v>-1141.0299999999988</v>
      </c>
      <c r="M168" s="5"/>
      <c r="N168" s="13">
        <f t="shared" ref="N168:N176" si="39">IF(H168=0,0,L168/H168)</f>
        <v>-1.7305342387282756E-2</v>
      </c>
      <c r="O168" s="11"/>
      <c r="P168" s="5">
        <f>SUM(OSRRefP25x_0)</f>
        <v>1157152.1100000001</v>
      </c>
      <c r="Q168" s="5"/>
      <c r="R168" s="13">
        <f t="shared" ref="R168:R176" si="40">IF(P$12=0,0,P168/P$12)</f>
        <v>5.2935218356094389E-2</v>
      </c>
      <c r="S168" s="5"/>
      <c r="T168" s="5">
        <f>SUM(OSRRefT25x_0)</f>
        <v>912777.76</v>
      </c>
      <c r="U168" s="5"/>
      <c r="V168" s="13">
        <f t="shared" ref="V168:V176" si="41">IF(T$12=0,0,T168/T$12)</f>
        <v>4.3341327394679739E-2</v>
      </c>
      <c r="W168" s="5"/>
      <c r="X168" s="5">
        <f t="shared" ref="X168:X176" si="42">+P168-T168</f>
        <v>244374.35000000009</v>
      </c>
      <c r="Y168" s="5"/>
      <c r="Z168" s="13">
        <f t="shared" ref="Z168:Z176" si="43">IF(T168=0,0,X168/T168)</f>
        <v>0.26772601251809652</v>
      </c>
    </row>
    <row r="169" spans="1:26" s="70" customFormat="1" ht="15" hidden="1" customHeight="1" outlineLevel="1" x14ac:dyDescent="0.3">
      <c r="A169" s="42"/>
      <c r="B169" s="12" t="str">
        <f>CONCATENATE("          ","4187"," - ","NON-TAXABLE SALES-COMPUTER REP")</f>
        <v xml:space="preserve">          4187 - NON-TAXABLE SALES-COMPUTER REP</v>
      </c>
      <c r="C169" s="12"/>
      <c r="D169" s="3">
        <f>0</f>
        <v>0</v>
      </c>
      <c r="E169" s="3"/>
      <c r="F169" s="20">
        <f t="shared" si="36"/>
        <v>0</v>
      </c>
      <c r="G169" s="3"/>
      <c r="H169" s="3"/>
      <c r="I169" s="3"/>
      <c r="J169" s="20">
        <f t="shared" si="37"/>
        <v>0</v>
      </c>
      <c r="K169" s="3"/>
      <c r="L169" s="3">
        <f t="shared" si="38"/>
        <v>0</v>
      </c>
      <c r="M169" s="3"/>
      <c r="N169" s="20">
        <f t="shared" si="39"/>
        <v>0</v>
      </c>
      <c r="O169" s="12"/>
      <c r="P169" s="3">
        <f>0</f>
        <v>0</v>
      </c>
      <c r="Q169" s="3"/>
      <c r="R169" s="20">
        <f t="shared" si="40"/>
        <v>0</v>
      </c>
      <c r="S169" s="3"/>
      <c r="T169" s="3"/>
      <c r="U169" s="3"/>
      <c r="V169" s="20">
        <f t="shared" si="41"/>
        <v>0</v>
      </c>
      <c r="W169" s="3"/>
      <c r="X169" s="3">
        <f t="shared" si="42"/>
        <v>0</v>
      </c>
      <c r="Y169" s="3"/>
      <c r="Z169" s="20">
        <f t="shared" si="43"/>
        <v>0</v>
      </c>
    </row>
    <row r="170" spans="1:26" s="70" customFormat="1" ht="15" hidden="1" customHeight="1" outlineLevel="1" x14ac:dyDescent="0.3">
      <c r="A170" s="42"/>
      <c r="B170" s="12" t="str">
        <f>CONCATENATE("          ","9087"," - ","")</f>
        <v xml:space="preserve">          9087 - </v>
      </c>
      <c r="C170" s="12"/>
      <c r="D170" s="3">
        <f>--1264.22</f>
        <v>1264.22</v>
      </c>
      <c r="E170" s="3"/>
      <c r="F170" s="20">
        <f t="shared" si="36"/>
        <v>3.7792789413675939E-4</v>
      </c>
      <c r="G170" s="3"/>
      <c r="H170" s="3"/>
      <c r="I170" s="3"/>
      <c r="J170" s="20">
        <f t="shared" si="37"/>
        <v>0</v>
      </c>
      <c r="K170" s="3"/>
      <c r="L170" s="3">
        <f t="shared" si="38"/>
        <v>1264.22</v>
      </c>
      <c r="M170" s="3"/>
      <c r="N170" s="20">
        <f t="shared" si="39"/>
        <v>0</v>
      </c>
      <c r="O170" s="12"/>
      <c r="P170" s="3">
        <f>--1996</f>
        <v>1996</v>
      </c>
      <c r="Q170" s="3"/>
      <c r="R170" s="20">
        <f t="shared" si="40"/>
        <v>9.1309253922342492E-5</v>
      </c>
      <c r="S170" s="3"/>
      <c r="T170" s="3"/>
      <c r="U170" s="3"/>
      <c r="V170" s="20">
        <f t="shared" si="41"/>
        <v>0</v>
      </c>
      <c r="W170" s="3"/>
      <c r="X170" s="3">
        <f t="shared" si="42"/>
        <v>1996</v>
      </c>
      <c r="Y170" s="3"/>
      <c r="Z170" s="20">
        <f t="shared" si="43"/>
        <v>0</v>
      </c>
    </row>
    <row r="171" spans="1:26" s="70" customFormat="1" ht="15" hidden="1" customHeight="1" outlineLevel="1" x14ac:dyDescent="0.3">
      <c r="A171" s="42"/>
      <c r="B171" s="12" t="str">
        <f>CONCATENATE("          ","9150"," - ","MISC. INCOME")</f>
        <v xml:space="preserve">          9150 - MISC. INCOME</v>
      </c>
      <c r="C171" s="12"/>
      <c r="D171" s="3">
        <f>--62036.97</f>
        <v>62036.97</v>
      </c>
      <c r="E171" s="3"/>
      <c r="F171" s="20">
        <f t="shared" si="36"/>
        <v>1.8545428351651863E-2</v>
      </c>
      <c r="G171" s="3"/>
      <c r="H171" s="3">
        <v>37183</v>
      </c>
      <c r="I171" s="3"/>
      <c r="J171" s="20">
        <f t="shared" si="37"/>
        <v>1.7208097982908989E-2</v>
      </c>
      <c r="K171" s="3"/>
      <c r="L171" s="3">
        <f t="shared" si="38"/>
        <v>24853.97</v>
      </c>
      <c r="M171" s="3"/>
      <c r="N171" s="20">
        <f t="shared" si="39"/>
        <v>0.66842293521232821</v>
      </c>
      <c r="O171" s="12"/>
      <c r="P171" s="3">
        <f>--570686.28</f>
        <v>570686.28</v>
      </c>
      <c r="Q171" s="3"/>
      <c r="R171" s="20">
        <f t="shared" si="40"/>
        <v>2.6106682590439401E-2</v>
      </c>
      <c r="S171" s="3"/>
      <c r="T171" s="3">
        <v>205517</v>
      </c>
      <c r="U171" s="3"/>
      <c r="V171" s="20">
        <f t="shared" si="41"/>
        <v>9.7585414243357513E-3</v>
      </c>
      <c r="W171" s="3"/>
      <c r="X171" s="3">
        <f t="shared" si="42"/>
        <v>365169.28</v>
      </c>
      <c r="Y171" s="3"/>
      <c r="Z171" s="20">
        <f t="shared" si="43"/>
        <v>1.7768324761455259</v>
      </c>
    </row>
    <row r="172" spans="1:26" s="70" customFormat="1" ht="15" hidden="1" customHeight="1" outlineLevel="1" x14ac:dyDescent="0.3">
      <c r="A172" s="42"/>
      <c r="B172" s="12" t="str">
        <f>CONCATENATE("          ","9151"," - ","MISC. INCOME")</f>
        <v xml:space="preserve">          9151 - MISC. INCOME</v>
      </c>
      <c r="C172" s="12"/>
      <c r="D172" s="3">
        <f>0</f>
        <v>0</v>
      </c>
      <c r="E172" s="3"/>
      <c r="F172" s="20">
        <f t="shared" si="36"/>
        <v>0</v>
      </c>
      <c r="G172" s="3"/>
      <c r="H172" s="3">
        <v>12530.38</v>
      </c>
      <c r="I172" s="3"/>
      <c r="J172" s="20">
        <f t="shared" si="37"/>
        <v>5.7989943469618672E-3</v>
      </c>
      <c r="K172" s="3"/>
      <c r="L172" s="3">
        <f t="shared" si="38"/>
        <v>-12530.38</v>
      </c>
      <c r="M172" s="3"/>
      <c r="N172" s="20">
        <f t="shared" si="39"/>
        <v>-1</v>
      </c>
      <c r="O172" s="12"/>
      <c r="P172" s="3">
        <f>--323761.7</f>
        <v>323761.7</v>
      </c>
      <c r="Q172" s="3"/>
      <c r="R172" s="20">
        <f t="shared" si="40"/>
        <v>1.4810841320455547E-2</v>
      </c>
      <c r="S172" s="3"/>
      <c r="T172" s="3">
        <v>514161.14</v>
      </c>
      <c r="U172" s="3"/>
      <c r="V172" s="20">
        <f t="shared" si="41"/>
        <v>2.4413857653983337E-2</v>
      </c>
      <c r="W172" s="3"/>
      <c r="X172" s="3">
        <f t="shared" si="42"/>
        <v>-190399.44</v>
      </c>
      <c r="Y172" s="3"/>
      <c r="Z172" s="20">
        <f t="shared" si="43"/>
        <v>-0.37031083290347455</v>
      </c>
    </row>
    <row r="173" spans="1:26" s="70" customFormat="1" ht="15" hidden="1" customHeight="1" outlineLevel="1" x14ac:dyDescent="0.3">
      <c r="A173" s="42"/>
      <c r="B173" s="12" t="str">
        <f>CONCATENATE("          ","9152"," - ","MISC. INCOME")</f>
        <v xml:space="preserve">          9152 - MISC. INCOME</v>
      </c>
      <c r="C173" s="12"/>
      <c r="D173" s="3">
        <f>-496.09</f>
        <v>-496.09</v>
      </c>
      <c r="E173" s="3"/>
      <c r="F173" s="20">
        <f t="shared" si="36"/>
        <v>-1.4830191659861807E-4</v>
      </c>
      <c r="G173" s="3"/>
      <c r="H173" s="3"/>
      <c r="I173" s="3"/>
      <c r="J173" s="20">
        <f t="shared" si="37"/>
        <v>0</v>
      </c>
      <c r="K173" s="3"/>
      <c r="L173" s="3">
        <f t="shared" si="38"/>
        <v>-496.09</v>
      </c>
      <c r="M173" s="3"/>
      <c r="N173" s="20">
        <f t="shared" si="39"/>
        <v>0</v>
      </c>
      <c r="O173" s="12"/>
      <c r="P173" s="3">
        <f>--3888.43</f>
        <v>3888.43</v>
      </c>
      <c r="Q173" s="3"/>
      <c r="R173" s="20">
        <f t="shared" si="40"/>
        <v>1.7788058227918548E-4</v>
      </c>
      <c r="S173" s="3"/>
      <c r="T173" s="3"/>
      <c r="U173" s="3"/>
      <c r="V173" s="20">
        <f t="shared" si="41"/>
        <v>0</v>
      </c>
      <c r="W173" s="3"/>
      <c r="X173" s="3">
        <f t="shared" si="42"/>
        <v>3888.43</v>
      </c>
      <c r="Y173" s="3"/>
      <c r="Z173" s="20">
        <f t="shared" si="43"/>
        <v>0</v>
      </c>
    </row>
    <row r="174" spans="1:26" s="70" customFormat="1" ht="15" hidden="1" customHeight="1" outlineLevel="1" x14ac:dyDescent="0.3">
      <c r="A174" s="42"/>
      <c r="B174" s="12" t="str">
        <f>CONCATENATE("          ","9160"," - ","MISC. INCOME")</f>
        <v xml:space="preserve">          9160 - MISC. INCOME</v>
      </c>
      <c r="C174" s="12"/>
      <c r="D174" s="3">
        <f>0</f>
        <v>0</v>
      </c>
      <c r="E174" s="3"/>
      <c r="F174" s="20">
        <f t="shared" si="36"/>
        <v>0</v>
      </c>
      <c r="G174" s="3"/>
      <c r="H174" s="3">
        <v>16221.75</v>
      </c>
      <c r="I174" s="3"/>
      <c r="J174" s="20">
        <f t="shared" si="37"/>
        <v>7.5073410820604546E-3</v>
      </c>
      <c r="K174" s="3"/>
      <c r="L174" s="3">
        <f t="shared" si="38"/>
        <v>-16221.75</v>
      </c>
      <c r="M174" s="3"/>
      <c r="N174" s="20">
        <f t="shared" si="39"/>
        <v>-1</v>
      </c>
      <c r="O174" s="12"/>
      <c r="P174" s="3">
        <f>0</f>
        <v>0</v>
      </c>
      <c r="Q174" s="3"/>
      <c r="R174" s="20">
        <f t="shared" si="40"/>
        <v>0</v>
      </c>
      <c r="S174" s="3"/>
      <c r="T174" s="3">
        <v>193099.62</v>
      </c>
      <c r="U174" s="3"/>
      <c r="V174" s="20">
        <f t="shared" si="41"/>
        <v>9.1689283163606528E-3</v>
      </c>
      <c r="W174" s="3"/>
      <c r="X174" s="3">
        <f t="shared" si="42"/>
        <v>-193099.62</v>
      </c>
      <c r="Y174" s="3"/>
      <c r="Z174" s="20">
        <f t="shared" si="43"/>
        <v>-1</v>
      </c>
    </row>
    <row r="175" spans="1:26" s="70" customFormat="1" ht="15" hidden="1" customHeight="1" outlineLevel="1" x14ac:dyDescent="0.3">
      <c r="A175" s="42"/>
      <c r="B175" s="12" t="str">
        <f>CONCATENATE("          ","9163"," - ","MISC. INCOME")</f>
        <v xml:space="preserve">          9163 - MISC. INCOME</v>
      </c>
      <c r="C175" s="12"/>
      <c r="D175" s="3">
        <f>--1989</f>
        <v>1989</v>
      </c>
      <c r="E175" s="3"/>
      <c r="F175" s="20">
        <f t="shared" si="36"/>
        <v>5.9459475521508474E-4</v>
      </c>
      <c r="G175" s="3"/>
      <c r="H175" s="3"/>
      <c r="I175" s="3"/>
      <c r="J175" s="20">
        <f t="shared" si="37"/>
        <v>0</v>
      </c>
      <c r="K175" s="3"/>
      <c r="L175" s="3">
        <f t="shared" si="38"/>
        <v>1989</v>
      </c>
      <c r="M175" s="3"/>
      <c r="N175" s="20">
        <f t="shared" si="39"/>
        <v>0</v>
      </c>
      <c r="O175" s="12"/>
      <c r="P175" s="3">
        <f>--256819.7</f>
        <v>256819.7</v>
      </c>
      <c r="Q175" s="3"/>
      <c r="R175" s="20">
        <f t="shared" si="40"/>
        <v>1.1748504608997908E-2</v>
      </c>
      <c r="S175" s="3"/>
      <c r="T175" s="3"/>
      <c r="U175" s="3"/>
      <c r="V175" s="20">
        <f t="shared" si="41"/>
        <v>0</v>
      </c>
      <c r="W175" s="3"/>
      <c r="X175" s="3">
        <f t="shared" si="42"/>
        <v>256819.7</v>
      </c>
      <c r="Y175" s="3"/>
      <c r="Z175" s="20">
        <f t="shared" si="43"/>
        <v>0</v>
      </c>
    </row>
    <row r="176" spans="1:26" s="70" customFormat="1" ht="15" hidden="1" customHeight="1" outlineLevel="1" x14ac:dyDescent="0.3">
      <c r="A176" s="42"/>
      <c r="B176" s="12" t="str">
        <f>CONCATENATE("          ","9165"," - ","OTHER INCOME")</f>
        <v xml:space="preserve">          9165 - OTHER INCOME</v>
      </c>
      <c r="C176" s="12"/>
      <c r="D176" s="3">
        <f>0</f>
        <v>0</v>
      </c>
      <c r="E176" s="3"/>
      <c r="F176" s="20">
        <f t="shared" si="36"/>
        <v>0</v>
      </c>
      <c r="G176" s="3"/>
      <c r="H176" s="3"/>
      <c r="I176" s="3"/>
      <c r="J176" s="20">
        <f t="shared" si="37"/>
        <v>0</v>
      </c>
      <c r="K176" s="3"/>
      <c r="L176" s="3">
        <f t="shared" si="38"/>
        <v>0</v>
      </c>
      <c r="M176" s="3"/>
      <c r="N176" s="20">
        <f t="shared" si="39"/>
        <v>0</v>
      </c>
      <c r="O176" s="12"/>
      <c r="P176" s="3">
        <f>0</f>
        <v>0</v>
      </c>
      <c r="Q176" s="3"/>
      <c r="R176" s="20">
        <f t="shared" si="40"/>
        <v>0</v>
      </c>
      <c r="S176" s="3"/>
      <c r="T176" s="3"/>
      <c r="U176" s="3"/>
      <c r="V176" s="20">
        <f t="shared" si="41"/>
        <v>0</v>
      </c>
      <c r="W176" s="3"/>
      <c r="X176" s="3">
        <f t="shared" si="42"/>
        <v>0</v>
      </c>
      <c r="Y176" s="3"/>
      <c r="Z176" s="20">
        <f t="shared" si="43"/>
        <v>0</v>
      </c>
    </row>
    <row r="177" spans="1:26" ht="15" customHeight="1" x14ac:dyDescent="0.3">
      <c r="A177" s="10"/>
      <c r="B177" s="11"/>
      <c r="C177" s="11"/>
      <c r="D177" s="4"/>
      <c r="E177" s="4"/>
      <c r="F177" s="9"/>
      <c r="G177" s="4"/>
      <c r="H177" s="4"/>
      <c r="I177" s="4"/>
      <c r="J177" s="9"/>
      <c r="K177" s="4"/>
      <c r="L177" s="4"/>
      <c r="M177" s="4"/>
      <c r="N177" s="9"/>
      <c r="O177" s="11"/>
      <c r="P177" s="4"/>
      <c r="Q177" s="4"/>
      <c r="R177" s="9"/>
      <c r="S177" s="4"/>
      <c r="T177" s="4"/>
      <c r="U177" s="4"/>
      <c r="V177" s="9"/>
      <c r="W177" s="4"/>
      <c r="X177" s="4"/>
      <c r="Y177" s="4"/>
      <c r="Z177" s="9"/>
    </row>
    <row r="178" spans="1:26" s="63" customFormat="1" ht="15" customHeight="1" x14ac:dyDescent="0.3">
      <c r="A178" s="11"/>
      <c r="B178" s="27" t="s">
        <v>292</v>
      </c>
      <c r="C178" s="27"/>
      <c r="D178" s="21">
        <f>+D64-D66+D168</f>
        <v>915513.41000000073</v>
      </c>
      <c r="E178" s="15"/>
      <c r="F178" s="23">
        <f>IF(D$12=0,0,D178/D$12)</f>
        <v>0.27368500347666058</v>
      </c>
      <c r="G178" s="15"/>
      <c r="H178" s="21">
        <f>+H64-H66+H168</f>
        <v>138734.2607948092</v>
      </c>
      <c r="I178" s="15"/>
      <c r="J178" s="23">
        <f>IF(H$12=0,0,H178/H$12)</f>
        <v>6.4205490502206003E-2</v>
      </c>
      <c r="K178" s="17"/>
      <c r="L178" s="21">
        <f>+D178-H178</f>
        <v>776779.14920519153</v>
      </c>
      <c r="M178" s="17"/>
      <c r="N178" s="23">
        <f>IF(H178=0,0,L178/H178)</f>
        <v>5.5990434140422147</v>
      </c>
      <c r="O178" s="28"/>
      <c r="P178" s="21">
        <f>+P64-P66+P168</f>
        <v>3542691.419999999</v>
      </c>
      <c r="Q178" s="15"/>
      <c r="R178" s="23">
        <f>IF(P$12=0,0,P178/P$12)</f>
        <v>0.16206438398661524</v>
      </c>
      <c r="S178" s="15"/>
      <c r="T178" s="21">
        <f>+T64-T66+T168</f>
        <v>672080.18825962604</v>
      </c>
      <c r="U178" s="15"/>
      <c r="V178" s="23">
        <f>IF(T$12=0,0,T178/T$12)</f>
        <v>3.1912310697445614E-2</v>
      </c>
      <c r="W178" s="17"/>
      <c r="X178" s="21">
        <f>+P178-T178</f>
        <v>2870611.2317403732</v>
      </c>
      <c r="Y178" s="17"/>
      <c r="Z178" s="23">
        <f>IF(T178=0,0,X178/T178)</f>
        <v>4.2712332276508791</v>
      </c>
    </row>
    <row r="179" spans="1:26" ht="15" customHeight="1" x14ac:dyDescent="0.3">
      <c r="A179" s="10"/>
      <c r="B179" s="11"/>
      <c r="C179" s="10"/>
      <c r="D179" s="4"/>
      <c r="E179" s="4"/>
      <c r="F179" s="9"/>
      <c r="G179" s="4"/>
      <c r="H179" s="4"/>
      <c r="I179" s="4"/>
      <c r="J179" s="9"/>
      <c r="K179" s="4"/>
      <c r="L179" s="4"/>
      <c r="M179" s="4"/>
      <c r="N179" s="9"/>
      <c r="P179" s="4"/>
      <c r="Q179" s="4"/>
      <c r="R179" s="9"/>
      <c r="S179" s="4"/>
      <c r="T179" s="4"/>
      <c r="U179" s="4"/>
      <c r="V179" s="9"/>
      <c r="W179" s="4"/>
      <c r="X179" s="4"/>
      <c r="Y179" s="4"/>
      <c r="Z179" s="9"/>
    </row>
    <row r="180" spans="1:26" s="63" customFormat="1" ht="15" customHeight="1" x14ac:dyDescent="0.3">
      <c r="A180" s="49"/>
      <c r="B180" s="11" t="s">
        <v>293</v>
      </c>
      <c r="C180" s="11"/>
      <c r="D180" s="5">
        <v>266683.28999999998</v>
      </c>
      <c r="E180" s="5"/>
      <c r="F180" s="13">
        <f>IF(D$12=0,0,D180/D$12)</f>
        <v>7.9722717716190772E-2</v>
      </c>
      <c r="G180" s="5"/>
      <c r="H180" s="5">
        <v>289109</v>
      </c>
      <c r="I180" s="5"/>
      <c r="J180" s="13">
        <f>IF(H$12=0,0,H180/H$12)</f>
        <v>0.13379813354868716</v>
      </c>
      <c r="K180" s="5"/>
      <c r="L180" s="5">
        <f>+D180-H180</f>
        <v>-22425.710000000021</v>
      </c>
      <c r="M180" s="5"/>
      <c r="N180" s="13">
        <f>IF(H180=0,0,L180/H180)</f>
        <v>-7.7568356571397018E-2</v>
      </c>
      <c r="O180" s="11"/>
      <c r="P180" s="5">
        <v>2476360.4300000002</v>
      </c>
      <c r="Q180" s="5"/>
      <c r="R180" s="13">
        <f>IF(P$12=0,0,P180/P$12)</f>
        <v>0.11328387941187938</v>
      </c>
      <c r="S180" s="5"/>
      <c r="T180" s="5">
        <v>2590713</v>
      </c>
      <c r="U180" s="5"/>
      <c r="V180" s="13">
        <f>IF(T$12=0,0,T180/T$12)</f>
        <v>0.12301454443703025</v>
      </c>
      <c r="W180" s="5"/>
      <c r="X180" s="5">
        <f>+P180-T180</f>
        <v>-114352.56999999983</v>
      </c>
      <c r="Y180" s="5"/>
      <c r="Z180" s="13">
        <f>IF(T180=0,0,X180/T180)</f>
        <v>-4.4139420306301712E-2</v>
      </c>
    </row>
    <row r="181" spans="1:26" ht="15" customHeight="1" x14ac:dyDescent="0.3">
      <c r="A181" s="10"/>
      <c r="B181" s="11"/>
      <c r="C181" s="11"/>
      <c r="D181" s="4"/>
      <c r="E181" s="4"/>
      <c r="F181" s="9"/>
      <c r="G181" s="4"/>
      <c r="H181" s="4"/>
      <c r="I181" s="4"/>
      <c r="J181" s="9"/>
      <c r="K181" s="4"/>
      <c r="L181" s="4"/>
      <c r="M181" s="4"/>
      <c r="N181" s="9"/>
      <c r="O181" s="11"/>
      <c r="P181" s="4"/>
      <c r="Q181" s="4"/>
      <c r="R181" s="9"/>
      <c r="S181" s="4"/>
      <c r="T181" s="4"/>
      <c r="U181" s="4"/>
      <c r="V181" s="9"/>
      <c r="W181" s="4"/>
      <c r="X181" s="4"/>
      <c r="Y181" s="4"/>
      <c r="Z181" s="9"/>
    </row>
    <row r="182" spans="1:26" s="63" customFormat="1" ht="15" customHeight="1" x14ac:dyDescent="0.3">
      <c r="A182" s="11"/>
      <c r="B182" s="27" t="s">
        <v>294</v>
      </c>
      <c r="C182" s="27"/>
      <c r="D182" s="29">
        <f>+D178-D180</f>
        <v>648830.12000000081</v>
      </c>
      <c r="E182" s="15"/>
      <c r="F182" s="30">
        <f>IF(D$12=0,0,D182/D$12)</f>
        <v>0.19396228576046984</v>
      </c>
      <c r="G182" s="15"/>
      <c r="H182" s="29">
        <f>+H178-H180</f>
        <v>-150374.7392051908</v>
      </c>
      <c r="I182" s="15"/>
      <c r="J182" s="30">
        <f>IF(H$12=0,0,H182/H$12)</f>
        <v>-6.9592643046481162E-2</v>
      </c>
      <c r="K182" s="17"/>
      <c r="L182" s="29">
        <f>D182-H182</f>
        <v>799204.85920519161</v>
      </c>
      <c r="M182" s="17"/>
      <c r="N182" s="30">
        <f>IF(H182=0,0,L182/H182)</f>
        <v>-5.314754748233697</v>
      </c>
      <c r="O182" s="28"/>
      <c r="P182" s="29">
        <f>+P178-P180</f>
        <v>1066330.9899999988</v>
      </c>
      <c r="Q182" s="15"/>
      <c r="R182" s="30">
        <f>IF(P$12=0,0,P182/P$12)</f>
        <v>4.8780504574735845E-2</v>
      </c>
      <c r="S182" s="15"/>
      <c r="T182" s="29">
        <f>+T178-T180</f>
        <v>-1918632.811740374</v>
      </c>
      <c r="U182" s="15"/>
      <c r="V182" s="30">
        <f>IF(T$12=0,0,T182/T$12)</f>
        <v>-9.1102233739584634E-2</v>
      </c>
      <c r="W182" s="17"/>
      <c r="X182" s="29">
        <f>P182-T182</f>
        <v>2984963.8017403726</v>
      </c>
      <c r="Y182" s="17"/>
      <c r="Z182" s="30">
        <f>IF(T182=0,0,X182/T182)</f>
        <v>-1.5557764797281559</v>
      </c>
    </row>
    <row r="183" spans="1:26" ht="15" customHeight="1" x14ac:dyDescent="0.3">
      <c r="A183" s="10"/>
      <c r="B183" s="10"/>
      <c r="C183" s="10"/>
      <c r="D183" s="4"/>
      <c r="E183" s="4"/>
      <c r="F183" s="9"/>
      <c r="G183" s="4"/>
      <c r="H183" s="4"/>
      <c r="I183" s="4"/>
      <c r="J183" s="9"/>
      <c r="K183" s="4"/>
      <c r="L183" s="4"/>
      <c r="M183" s="4"/>
      <c r="N183" s="9"/>
      <c r="P183" s="4"/>
      <c r="Q183" s="4"/>
      <c r="R183" s="9"/>
      <c r="S183" s="4"/>
      <c r="T183" s="4"/>
      <c r="U183" s="4"/>
      <c r="V183" s="9"/>
      <c r="W183" s="4"/>
      <c r="X183" s="4"/>
      <c r="Y183" s="4"/>
      <c r="Z183" s="9"/>
    </row>
    <row r="184" spans="1:26" s="63" customFormat="1" ht="15" customHeight="1" x14ac:dyDescent="0.3">
      <c r="A184" s="49"/>
      <c r="B184" s="11" t="s">
        <v>295</v>
      </c>
      <c r="C184" s="11"/>
      <c r="D184" s="5">
        <f>-631914.9</f>
        <v>-631914.9</v>
      </c>
      <c r="E184" s="5"/>
      <c r="F184" s="13">
        <f>IF(D$12=0,0,D184/D$12)</f>
        <v>-0.18890562357077162</v>
      </c>
      <c r="G184" s="5"/>
      <c r="H184" s="5">
        <f>--15000</f>
        <v>15000</v>
      </c>
      <c r="I184" s="5"/>
      <c r="J184" s="13">
        <f>IF(H$12=0,0,H184/H$12)</f>
        <v>6.9419215701701006E-3</v>
      </c>
      <c r="K184" s="5"/>
      <c r="L184" s="5">
        <f>+D184-H184</f>
        <v>-646914.9</v>
      </c>
      <c r="M184" s="5"/>
      <c r="N184" s="13">
        <f>IF(H184=0,0,L184/H184)</f>
        <v>-43.127659999999999</v>
      </c>
      <c r="O184" s="11"/>
      <c r="P184" s="5">
        <f>-1586831.27</f>
        <v>-1586831.27</v>
      </c>
      <c r="Q184" s="5"/>
      <c r="R184" s="13">
        <f>IF(P$12=0,0,P184/P$12)</f>
        <v>-7.2591372427025666E-2</v>
      </c>
      <c r="S184" s="5"/>
      <c r="T184" s="5">
        <f>--150000</f>
        <v>150000</v>
      </c>
      <c r="U184" s="5"/>
      <c r="V184" s="13">
        <f>IF(T$12=0,0,T184/T$12)</f>
        <v>7.1224337337074924E-3</v>
      </c>
      <c r="W184" s="5"/>
      <c r="X184" s="5">
        <f>+P184-T184</f>
        <v>-1736831.27</v>
      </c>
      <c r="Y184" s="5"/>
      <c r="Z184" s="13">
        <f>IF(T184=0,0,X184/T184)</f>
        <v>-11.578875133333334</v>
      </c>
    </row>
    <row r="185" spans="1:26" s="63" customFormat="1" ht="15" customHeight="1" x14ac:dyDescent="0.3">
      <c r="A185" s="49"/>
      <c r="B185" s="11" t="s">
        <v>296</v>
      </c>
      <c r="C185" s="11"/>
      <c r="D185" s="5">
        <f>--9521.98</f>
        <v>9521.98</v>
      </c>
      <c r="E185" s="5"/>
      <c r="F185" s="13">
        <f>IF(D$12=0,0,D185/D$12)</f>
        <v>2.8465155189858885E-3</v>
      </c>
      <c r="G185" s="5"/>
      <c r="H185" s="5">
        <f>--15000</f>
        <v>15000</v>
      </c>
      <c r="I185" s="5"/>
      <c r="J185" s="13">
        <f>IF(H$12=0,0,H185/H$12)</f>
        <v>6.9419215701701006E-3</v>
      </c>
      <c r="K185" s="5"/>
      <c r="L185" s="5">
        <f>+D185-H185</f>
        <v>-5478.02</v>
      </c>
      <c r="M185" s="5"/>
      <c r="N185" s="13">
        <f>IF(H185=0,0,L185/H185)</f>
        <v>-0.36520133333333338</v>
      </c>
      <c r="O185" s="11"/>
      <c r="P185" s="5">
        <f>--2342787.45</f>
        <v>2342787.4500000002</v>
      </c>
      <c r="Q185" s="5"/>
      <c r="R185" s="13">
        <f>IF(P$12=0,0,P185/P$12)</f>
        <v>0.10717343394695755</v>
      </c>
      <c r="S185" s="5"/>
      <c r="T185" s="5">
        <f>--165000</f>
        <v>165000</v>
      </c>
      <c r="U185" s="5"/>
      <c r="V185" s="13">
        <f>IF(T$12=0,0,T185/T$12)</f>
        <v>7.8346771070782421E-3</v>
      </c>
      <c r="W185" s="5"/>
      <c r="X185" s="5">
        <f>+P185-T185</f>
        <v>2177787.4500000002</v>
      </c>
      <c r="Y185" s="5"/>
      <c r="Z185" s="13">
        <f>IF(T185=0,0,X185/T185)</f>
        <v>13.198711818181819</v>
      </c>
    </row>
    <row r="186" spans="1:26" ht="15" customHeight="1" x14ac:dyDescent="0.3">
      <c r="A186" s="10"/>
      <c r="B186" s="10"/>
      <c r="C186" s="10"/>
      <c r="D186" s="4"/>
      <c r="E186" s="4"/>
      <c r="F186" s="9"/>
      <c r="G186" s="4"/>
      <c r="H186" s="4"/>
      <c r="I186" s="4"/>
      <c r="J186" s="9"/>
      <c r="K186" s="4"/>
      <c r="L186" s="4"/>
      <c r="M186" s="4"/>
      <c r="N186" s="9"/>
      <c r="P186" s="4"/>
      <c r="Q186" s="4"/>
      <c r="R186" s="9"/>
      <c r="S186" s="4"/>
      <c r="T186" s="4"/>
      <c r="U186" s="4"/>
      <c r="V186" s="9"/>
      <c r="W186" s="4"/>
      <c r="X186" s="4"/>
      <c r="Y186" s="4"/>
      <c r="Z186" s="9"/>
    </row>
    <row r="187" spans="1:26" s="63" customFormat="1" ht="15" customHeight="1" x14ac:dyDescent="0.3">
      <c r="A187" s="11"/>
      <c r="B187" s="27" t="s">
        <v>297</v>
      </c>
      <c r="C187" s="27"/>
      <c r="D187" s="32">
        <f>SUM(D182:D186)</f>
        <v>26437.200000000787</v>
      </c>
      <c r="E187" s="15"/>
      <c r="F187" s="34">
        <f>IF(D$12=0,0,D187/D$12)</f>
        <v>7.9031777086841157E-3</v>
      </c>
      <c r="G187" s="15"/>
      <c r="H187" s="32">
        <f>SUM(H182:H186)</f>
        <v>-120374.7392051908</v>
      </c>
      <c r="I187" s="15"/>
      <c r="J187" s="34">
        <f>IF(H$12=0,0,H187/H$12)</f>
        <v>-5.5708799906140957E-2</v>
      </c>
      <c r="K187" s="17"/>
      <c r="L187" s="32">
        <f>+D187-H187</f>
        <v>146811.93920519159</v>
      </c>
      <c r="M187" s="17"/>
      <c r="N187" s="34">
        <f>IF(H187=0,0,L187/H187)</f>
        <v>-1.2196241518325197</v>
      </c>
      <c r="O187" s="28"/>
      <c r="P187" s="32">
        <f>SUM(P182:P186)</f>
        <v>1822287.169999999</v>
      </c>
      <c r="Q187" s="15"/>
      <c r="R187" s="34">
        <f>IF(P$12=0,0,P187/P$12)</f>
        <v>8.3362566094667745E-2</v>
      </c>
      <c r="S187" s="15"/>
      <c r="T187" s="32">
        <f>SUM(T182:T186)</f>
        <v>-1603632.811740374</v>
      </c>
      <c r="U187" s="15"/>
      <c r="V187" s="34">
        <f>IF(T$12=0,0,T187/T$12)</f>
        <v>-7.6145122898798906E-2</v>
      </c>
      <c r="W187" s="17"/>
      <c r="X187" s="32">
        <f>+P187-T187</f>
        <v>3425919.9817403732</v>
      </c>
      <c r="Y187" s="17"/>
      <c r="Z187" s="34">
        <f>IF(T187=0,0,X187/T187)</f>
        <v>-2.1363493916181016</v>
      </c>
    </row>
    <row r="188" spans="1:26" ht="15" customHeight="1" x14ac:dyDescent="0.3">
      <c r="A188" s="10"/>
      <c r="C188" s="10"/>
      <c r="D188" s="19"/>
      <c r="E188" s="19"/>
      <c r="G188" s="19"/>
      <c r="H188" s="19"/>
      <c r="I188" s="19"/>
      <c r="J188" s="40"/>
      <c r="K188" s="19"/>
      <c r="L188" s="19"/>
      <c r="M188" s="19"/>
      <c r="P188" s="19"/>
      <c r="Q188" s="19"/>
      <c r="R188" s="40"/>
      <c r="S188" s="19"/>
      <c r="T188" s="19"/>
      <c r="U188" s="19"/>
      <c r="V188" s="40"/>
      <c r="W188" s="19"/>
      <c r="X188" s="19"/>
    </row>
    <row r="189" spans="1:26" ht="15" customHeight="1" x14ac:dyDescent="0.3">
      <c r="A189" s="10"/>
      <c r="B189" s="56">
        <v>44694.888514432867</v>
      </c>
      <c r="D189" s="19"/>
      <c r="E189" s="19"/>
      <c r="G189" s="19"/>
      <c r="H189" s="19"/>
      <c r="I189" s="19"/>
      <c r="J189" s="40"/>
      <c r="K189" s="19"/>
      <c r="L189" s="19"/>
      <c r="M189" s="19"/>
      <c r="P189" s="19"/>
      <c r="Q189" s="19"/>
      <c r="R189" s="40"/>
      <c r="S189" s="19"/>
      <c r="T189" s="19"/>
      <c r="U189" s="19"/>
      <c r="V189" s="40"/>
      <c r="W189" s="19"/>
      <c r="X189" s="19"/>
    </row>
    <row r="190" spans="1:26" ht="15" customHeight="1" x14ac:dyDescent="0.3">
      <c r="A190" s="10"/>
      <c r="B190" s="50" t="s">
        <v>298</v>
      </c>
      <c r="D190" s="19"/>
      <c r="E190" s="19"/>
      <c r="G190" s="19"/>
      <c r="H190" s="19"/>
      <c r="I190" s="19"/>
      <c r="J190" s="40"/>
      <c r="K190" s="19"/>
      <c r="L190" s="19"/>
      <c r="M190" s="19"/>
      <c r="P190" s="19"/>
      <c r="Q190" s="19"/>
      <c r="R190" s="40"/>
      <c r="S190" s="19"/>
      <c r="T190" s="19"/>
      <c r="U190" s="19"/>
      <c r="V190" s="40"/>
      <c r="W190" s="19"/>
      <c r="X190" s="19"/>
    </row>
    <row r="191" spans="1:26" ht="15" customHeight="1" x14ac:dyDescent="0.3">
      <c r="A191" s="10"/>
      <c r="B191" s="51"/>
      <c r="D191" s="19"/>
      <c r="E191" s="19"/>
      <c r="G191" s="19"/>
      <c r="H191" s="19"/>
      <c r="I191" s="19"/>
      <c r="J191" s="40"/>
      <c r="K191" s="19"/>
      <c r="L191" s="19"/>
      <c r="M191" s="19"/>
      <c r="P191" s="19"/>
      <c r="Q191" s="19"/>
      <c r="R191" s="40"/>
      <c r="S191" s="19"/>
      <c r="T191" s="19"/>
      <c r="U191" s="19"/>
      <c r="V191" s="40"/>
      <c r="W191" s="19"/>
      <c r="X191" s="19"/>
    </row>
    <row r="192" spans="1:26" ht="15" customHeight="1" x14ac:dyDescent="0.3">
      <c r="D192" s="19"/>
      <c r="E192" s="19"/>
      <c r="G192" s="19"/>
      <c r="H192" s="19"/>
      <c r="I192" s="19"/>
      <c r="J192" s="40"/>
      <c r="K192" s="19"/>
      <c r="L192" s="19"/>
      <c r="M192" s="19"/>
      <c r="P192" s="19"/>
      <c r="Q192" s="19"/>
      <c r="R192" s="40"/>
      <c r="S192" s="19"/>
      <c r="T192" s="19"/>
      <c r="U192" s="19"/>
      <c r="V192" s="40"/>
      <c r="W192" s="19"/>
      <c r="X19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40861-2A8C-0183-34AA-C6EBDC25A96A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311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DC1B8-227E-8FC7-8D3B-3A71055721E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312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A726E-FC4D-CD9D-EEB5-3D7400A1AFA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312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F7542-B2A9-C4FF-BCD7-6A647DA12C4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313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0917F-5BD4-3CAC-FF72-6C60E37CE80E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313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731BF-2E9B-7AD3-2C34-B93AF98B41B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314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EA8ED-017B-7A74-EF6E-346D3AE5A9B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314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EA9EF-37DA-A45A-AA57-D581883893E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315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1CB7A-A479-643C-5C2C-08C8C5E3C65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315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7BFB-343E-0A4C-F0C5-5DEE289AF8BF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","100"," - ","Corporate")</f>
        <v>Department 100 - Corporate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5"/>
      <c r="L18" s="22">
        <f>+D18-H18</f>
        <v>0</v>
      </c>
      <c r="M18" s="5"/>
      <c r="N18" s="33">
        <f>IF(H18=0,0,L18/H18)</f>
        <v>0</v>
      </c>
      <c r="O18" s="11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5"/>
      <c r="X18" s="22">
        <f>+P18-T18</f>
        <v>0</v>
      </c>
      <c r="Y18" s="5"/>
      <c r="Z18" s="33">
        <f>IF(T18=0,0,X18/T18)</f>
        <v>0</v>
      </c>
    </row>
    <row r="19" spans="1:26" s="65" customFormat="1" ht="15" customHeight="1" x14ac:dyDescent="0.3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292</v>
      </c>
      <c r="C22" s="27"/>
      <c r="D22" s="21">
        <f>+D16-D18+D20</f>
        <v>0</v>
      </c>
      <c r="E22" s="15"/>
      <c r="F22" s="23">
        <f>IF(D$12=0,0,D22/D$12)</f>
        <v>0</v>
      </c>
      <c r="G22" s="15"/>
      <c r="H22" s="21">
        <f>+H16-H18+H20</f>
        <v>0</v>
      </c>
      <c r="I22" s="15"/>
      <c r="J22" s="23">
        <f>IF(H$12=0,0,H22/H$12)</f>
        <v>0</v>
      </c>
      <c r="K22" s="17"/>
      <c r="L22" s="21">
        <f>+D22-H22</f>
        <v>0</v>
      </c>
      <c r="M22" s="17"/>
      <c r="N22" s="23">
        <f>IF(H22=0,0,L22/H22)</f>
        <v>0</v>
      </c>
      <c r="O22" s="28"/>
      <c r="P22" s="21">
        <f>+P16-P18+P20</f>
        <v>0</v>
      </c>
      <c r="Q22" s="15"/>
      <c r="R22" s="23">
        <f>IF(P$12=0,0,P22/P$12)</f>
        <v>0</v>
      </c>
      <c r="S22" s="15"/>
      <c r="T22" s="21">
        <f>+T16-T18+T20</f>
        <v>0</v>
      </c>
      <c r="U22" s="15"/>
      <c r="V22" s="23">
        <f>IF(T$12=0,0,T22/T$12)</f>
        <v>0</v>
      </c>
      <c r="W22" s="17"/>
      <c r="X22" s="21">
        <f>+P22-T22</f>
        <v>0</v>
      </c>
      <c r="Y22" s="17"/>
      <c r="Z22" s="23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7" t="s">
        <v>294</v>
      </c>
      <c r="C26" s="27"/>
      <c r="D26" s="29">
        <f>+D22-D24</f>
        <v>0</v>
      </c>
      <c r="E26" s="15"/>
      <c r="F26" s="30">
        <f>IF(D$12=0,0,D26/D$12)</f>
        <v>0</v>
      </c>
      <c r="G26" s="15"/>
      <c r="H26" s="29">
        <f>+H22-H24</f>
        <v>0</v>
      </c>
      <c r="I26" s="15"/>
      <c r="J26" s="30">
        <f>IF(H$12=0,0,H26/H$12)</f>
        <v>0</v>
      </c>
      <c r="K26" s="17"/>
      <c r="L26" s="29">
        <f>D26-H26</f>
        <v>0</v>
      </c>
      <c r="M26" s="17"/>
      <c r="N26" s="30">
        <f>IF(H26=0,0,L26/H26)</f>
        <v>0</v>
      </c>
      <c r="O26" s="28"/>
      <c r="P26" s="29">
        <f>+P22-P24</f>
        <v>0</v>
      </c>
      <c r="Q26" s="15"/>
      <c r="R26" s="30">
        <f>IF(P$12=0,0,P26/P$12)</f>
        <v>0</v>
      </c>
      <c r="S26" s="15"/>
      <c r="T26" s="29">
        <f>+T22-T24</f>
        <v>0</v>
      </c>
      <c r="U26" s="15"/>
      <c r="V26" s="30">
        <f>IF(T$12=0,0,T26/T$12)</f>
        <v>0</v>
      </c>
      <c r="W26" s="17"/>
      <c r="X26" s="29">
        <f>P26-T26</f>
        <v>0</v>
      </c>
      <c r="Y26" s="17"/>
      <c r="Z26" s="30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295</v>
      </c>
      <c r="C28" s="11"/>
      <c r="D28" s="5">
        <f>-631914.9</f>
        <v>-631914.9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-646914.9</v>
      </c>
      <c r="M28" s="5"/>
      <c r="N28" s="13">
        <f>IF(H28=0,0,L28/H28)</f>
        <v>-43.127659999999999</v>
      </c>
      <c r="O28" s="11"/>
      <c r="P28" s="5">
        <f>-1586831.27</f>
        <v>-1586831.27</v>
      </c>
      <c r="Q28" s="5"/>
      <c r="R28" s="13">
        <f>IF(P$12=0,0,P28/P$12)</f>
        <v>0</v>
      </c>
      <c r="S28" s="5"/>
      <c r="T28" s="5">
        <f>--150000</f>
        <v>150000</v>
      </c>
      <c r="U28" s="5"/>
      <c r="V28" s="13">
        <f>IF(T$12=0,0,T28/T$12)</f>
        <v>0</v>
      </c>
      <c r="W28" s="5"/>
      <c r="X28" s="5">
        <f>+P28-T28</f>
        <v>-1736831.27</v>
      </c>
      <c r="Y28" s="5"/>
      <c r="Z28" s="13">
        <f>IF(T28=0,0,X28/T28)</f>
        <v>-11.578875133333334</v>
      </c>
    </row>
    <row r="29" spans="1:26" s="63" customFormat="1" ht="15" customHeight="1" x14ac:dyDescent="0.3">
      <c r="A29" s="49"/>
      <c r="B29" s="11" t="s">
        <v>296</v>
      </c>
      <c r="C29" s="11"/>
      <c r="D29" s="5">
        <f>--9521.98</f>
        <v>9521.98</v>
      </c>
      <c r="E29" s="5"/>
      <c r="F29" s="13">
        <f>IF(D$12=0,0,D29/D$12)</f>
        <v>0</v>
      </c>
      <c r="G29" s="5"/>
      <c r="H29" s="5">
        <f>--15000</f>
        <v>15000</v>
      </c>
      <c r="I29" s="5"/>
      <c r="J29" s="13">
        <f>IF(H$12=0,0,H29/H$12)</f>
        <v>0</v>
      </c>
      <c r="K29" s="5"/>
      <c r="L29" s="5">
        <f>+D29-H29</f>
        <v>-5478.02</v>
      </c>
      <c r="M29" s="5"/>
      <c r="N29" s="13">
        <f>IF(H29=0,0,L29/H29)</f>
        <v>-0.36520133333333338</v>
      </c>
      <c r="O29" s="11"/>
      <c r="P29" s="5">
        <f>--2342787.45</f>
        <v>2342787.4500000002</v>
      </c>
      <c r="Q29" s="5"/>
      <c r="R29" s="13">
        <f>IF(P$12=0,0,P29/P$12)</f>
        <v>0</v>
      </c>
      <c r="S29" s="5"/>
      <c r="T29" s="5">
        <f>--165000</f>
        <v>165000</v>
      </c>
      <c r="U29" s="5"/>
      <c r="V29" s="13">
        <f>IF(T$12=0,0,T29/T$12)</f>
        <v>0</v>
      </c>
      <c r="W29" s="5"/>
      <c r="X29" s="5">
        <f>+P29-T29</f>
        <v>2177787.4500000002</v>
      </c>
      <c r="Y29" s="5"/>
      <c r="Z29" s="13">
        <f>IF(T29=0,0,X29/T29)</f>
        <v>13.198711818181819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297</v>
      </c>
      <c r="C31" s="27"/>
      <c r="D31" s="32">
        <f>SUM(D26:D30)</f>
        <v>-622392.92000000004</v>
      </c>
      <c r="E31" s="15"/>
      <c r="F31" s="34">
        <f>IF(D$12=0,0,D31/D$12)</f>
        <v>0</v>
      </c>
      <c r="G31" s="15"/>
      <c r="H31" s="32">
        <f>SUM(H26:H30)</f>
        <v>30000</v>
      </c>
      <c r="I31" s="15"/>
      <c r="J31" s="34">
        <f>IF(H$12=0,0,H31/H$12)</f>
        <v>0</v>
      </c>
      <c r="K31" s="17"/>
      <c r="L31" s="32">
        <f>+D31-H31</f>
        <v>-652392.92000000004</v>
      </c>
      <c r="M31" s="17"/>
      <c r="N31" s="34">
        <f>IF(H31=0,0,L31/H31)</f>
        <v>-21.746430666666669</v>
      </c>
      <c r="O31" s="28"/>
      <c r="P31" s="32">
        <f>SUM(P26:P30)</f>
        <v>755956.18000000017</v>
      </c>
      <c r="Q31" s="15"/>
      <c r="R31" s="34">
        <f>IF(P$12=0,0,P31/P$12)</f>
        <v>0</v>
      </c>
      <c r="S31" s="15"/>
      <c r="T31" s="32">
        <f>SUM(T26:T30)</f>
        <v>315000</v>
      </c>
      <c r="U31" s="15"/>
      <c r="V31" s="34">
        <f>IF(T$12=0,0,T31/T$12)</f>
        <v>0</v>
      </c>
      <c r="W31" s="17"/>
      <c r="X31" s="32">
        <f>+P31-T31</f>
        <v>440956.18000000017</v>
      </c>
      <c r="Y31" s="17"/>
      <c r="Z31" s="34">
        <f>IF(T31=0,0,X31/T31)</f>
        <v>1.3998608888888895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6">
        <v>44694.888552430559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0" t="s">
        <v>298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1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7C02-1A05-CE62-7822-FF1306571934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278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0175-FA19-A16C-C221-E4F782F5F593}">
  <sheetPr>
    <tabColor rgb="FFFFC0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300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266682.48</v>
      </c>
      <c r="E18" s="22"/>
      <c r="F18" s="33">
        <f t="shared" ref="F18:F49" si="0">IF(D$12=0,0,D18/D$12)</f>
        <v>0</v>
      </c>
      <c r="G18" s="22"/>
      <c r="H18" s="22" cm="1">
        <f t="array" ref="H18">SUM(OSRRefH22x_0)</f>
        <v>289108.58269980003</v>
      </c>
      <c r="I18" s="22"/>
      <c r="J18" s="33">
        <f t="shared" ref="J18:J49" si="1">IF(H$12=0,0,H18/H$12)</f>
        <v>0</v>
      </c>
      <c r="K18" s="5"/>
      <c r="L18" s="22">
        <f t="shared" ref="L18:L49" si="2">+D18-H18</f>
        <v>-22426.102699800045</v>
      </c>
      <c r="M18" s="5"/>
      <c r="N18" s="33">
        <f t="shared" ref="N18:N49" si="3">IF(H18=0,0,L18/H18)</f>
        <v>-7.7569826846290851E-2</v>
      </c>
      <c r="O18" s="11"/>
      <c r="P18" s="22" cm="1">
        <f t="array" ref="P18">SUM(OSRRefP22x_0)</f>
        <v>2476359.6200000006</v>
      </c>
      <c r="Q18" s="22"/>
      <c r="R18" s="33">
        <f t="shared" ref="R18:R49" si="4">IF(P$12=0,0,P18/P$12)</f>
        <v>0</v>
      </c>
      <c r="S18" s="22"/>
      <c r="T18" s="22" cm="1">
        <f t="array" ref="T18">SUM(OSRRefT22x_0)</f>
        <v>2625710.9463067013</v>
      </c>
      <c r="U18" s="22"/>
      <c r="V18" s="33">
        <f t="shared" ref="V18:V49" si="5">IF(T$12=0,0,T18/T$12)</f>
        <v>0</v>
      </c>
      <c r="W18" s="5"/>
      <c r="X18" s="22">
        <f t="shared" ref="X18:X49" si="6">+P18-T18</f>
        <v>-149351.32630670071</v>
      </c>
      <c r="Y18" s="5"/>
      <c r="Z18" s="33">
        <f t="shared" ref="Z18:Z49" si="7">IF(T18=0,0,X18/T18)</f>
        <v>-5.6880338072542516E-2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99249.39</v>
      </c>
      <c r="E19" s="2"/>
      <c r="F19" s="6">
        <f t="shared" si="0"/>
        <v>0</v>
      </c>
      <c r="G19" s="2"/>
      <c r="H19" s="2">
        <f>SUM(OSRRefH22_0x_0)</f>
        <v>89458.017807492361</v>
      </c>
      <c r="I19" s="2"/>
      <c r="J19" s="6">
        <f t="shared" si="1"/>
        <v>0</v>
      </c>
      <c r="K19" s="2"/>
      <c r="L19" s="2">
        <f t="shared" si="2"/>
        <v>9791.3721925076388</v>
      </c>
      <c r="M19" s="2"/>
      <c r="N19" s="6">
        <f t="shared" si="3"/>
        <v>0.10945214786200622</v>
      </c>
      <c r="O19" s="14"/>
      <c r="P19" s="2">
        <f>SUM(OSRRefP22_0x_0)</f>
        <v>873465.14</v>
      </c>
      <c r="Q19" s="2"/>
      <c r="R19" s="6">
        <f t="shared" si="4"/>
        <v>0</v>
      </c>
      <c r="S19" s="2"/>
      <c r="T19" s="2">
        <f>SUM(OSRRefT22_0x_0)</f>
        <v>863119.89833131712</v>
      </c>
      <c r="U19" s="2"/>
      <c r="V19" s="6">
        <f t="shared" si="5"/>
        <v>0</v>
      </c>
      <c r="W19" s="2"/>
      <c r="X19" s="2">
        <f t="shared" si="6"/>
        <v>10345.241668682895</v>
      </c>
      <c r="Y19" s="2"/>
      <c r="Z19" s="6">
        <f t="shared" si="7"/>
        <v>1.1985868578263007E-2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12212.93</v>
      </c>
      <c r="E20" s="3"/>
      <c r="F20" s="8">
        <f t="shared" si="0"/>
        <v>0</v>
      </c>
      <c r="G20" s="3"/>
      <c r="H20" s="7">
        <v>8980.4033131846209</v>
      </c>
      <c r="I20" s="3"/>
      <c r="J20" s="8">
        <f t="shared" si="1"/>
        <v>0</v>
      </c>
      <c r="K20" s="3"/>
      <c r="L20" s="7">
        <f t="shared" si="2"/>
        <v>3232.5266868153794</v>
      </c>
      <c r="M20" s="3"/>
      <c r="N20" s="8">
        <f t="shared" si="3"/>
        <v>0.35995339786906122</v>
      </c>
      <c r="O20" s="12"/>
      <c r="P20" s="7">
        <v>85418.77</v>
      </c>
      <c r="Q20" s="3"/>
      <c r="R20" s="8">
        <f t="shared" si="4"/>
        <v>0</v>
      </c>
      <c r="S20" s="3"/>
      <c r="T20" s="7">
        <v>81878.497698332401</v>
      </c>
      <c r="U20" s="3"/>
      <c r="V20" s="8">
        <f t="shared" si="5"/>
        <v>0</v>
      </c>
      <c r="W20" s="3"/>
      <c r="X20" s="7">
        <f t="shared" si="6"/>
        <v>3540.2723016676027</v>
      </c>
      <c r="Y20" s="3"/>
      <c r="Z20" s="8">
        <f t="shared" si="7"/>
        <v>4.3238119911666463E-2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1562.34</v>
      </c>
      <c r="E21" s="3"/>
      <c r="F21" s="8">
        <f t="shared" si="0"/>
        <v>0</v>
      </c>
      <c r="G21" s="3"/>
      <c r="H21" s="7">
        <v>758.25496369230802</v>
      </c>
      <c r="I21" s="3"/>
      <c r="J21" s="8">
        <f t="shared" si="1"/>
        <v>0</v>
      </c>
      <c r="K21" s="3"/>
      <c r="L21" s="7">
        <f t="shared" si="2"/>
        <v>804.08503630769189</v>
      </c>
      <c r="M21" s="3"/>
      <c r="N21" s="8">
        <f t="shared" si="3"/>
        <v>1.0604415068939546</v>
      </c>
      <c r="O21" s="12"/>
      <c r="P21" s="7">
        <v>16186.39</v>
      </c>
      <c r="Q21" s="3"/>
      <c r="R21" s="8">
        <f t="shared" si="4"/>
        <v>0</v>
      </c>
      <c r="S21" s="3"/>
      <c r="T21" s="7">
        <v>6743.5515066461603</v>
      </c>
      <c r="U21" s="3"/>
      <c r="V21" s="8">
        <f t="shared" si="5"/>
        <v>0</v>
      </c>
      <c r="W21" s="3"/>
      <c r="X21" s="7">
        <f t="shared" si="6"/>
        <v>9442.83849335384</v>
      </c>
      <c r="Y21" s="3"/>
      <c r="Z21" s="8">
        <f t="shared" si="7"/>
        <v>1.4002767657438926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20065.64</v>
      </c>
      <c r="E22" s="3"/>
      <c r="F22" s="8">
        <f t="shared" si="0"/>
        <v>0</v>
      </c>
      <c r="G22" s="3"/>
      <c r="H22" s="7">
        <v>24481.9230769231</v>
      </c>
      <c r="I22" s="3"/>
      <c r="J22" s="8">
        <f t="shared" si="1"/>
        <v>0</v>
      </c>
      <c r="K22" s="3"/>
      <c r="L22" s="7">
        <f t="shared" si="2"/>
        <v>-4416.2830769231005</v>
      </c>
      <c r="M22" s="3"/>
      <c r="N22" s="8">
        <f t="shared" si="3"/>
        <v>-0.18038954958917963</v>
      </c>
      <c r="O22" s="12"/>
      <c r="P22" s="7">
        <v>215059.3</v>
      </c>
      <c r="Q22" s="3"/>
      <c r="R22" s="8">
        <f t="shared" si="4"/>
        <v>0</v>
      </c>
      <c r="S22" s="3"/>
      <c r="T22" s="7">
        <v>238358.92307692301</v>
      </c>
      <c r="U22" s="3"/>
      <c r="V22" s="8">
        <f t="shared" si="5"/>
        <v>0</v>
      </c>
      <c r="W22" s="3"/>
      <c r="X22" s="7">
        <f t="shared" si="6"/>
        <v>-23299.623076923017</v>
      </c>
      <c r="Y22" s="3"/>
      <c r="Z22" s="8">
        <f t="shared" si="7"/>
        <v>-9.7750160875679823E-2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276.93</v>
      </c>
      <c r="E23" s="3"/>
      <c r="F23" s="8">
        <f t="shared" si="0"/>
        <v>0</v>
      </c>
      <c r="G23" s="3"/>
      <c r="H23" s="7">
        <v>275.18583830769199</v>
      </c>
      <c r="I23" s="3"/>
      <c r="J23" s="8">
        <f t="shared" si="1"/>
        <v>0</v>
      </c>
      <c r="K23" s="3"/>
      <c r="L23" s="7">
        <f t="shared" si="2"/>
        <v>1.7441616923080119</v>
      </c>
      <c r="M23" s="3"/>
      <c r="N23" s="8">
        <f t="shared" si="3"/>
        <v>6.3381230045632736E-3</v>
      </c>
      <c r="O23" s="12"/>
      <c r="P23" s="7">
        <v>2871.04</v>
      </c>
      <c r="Q23" s="3"/>
      <c r="R23" s="8">
        <f t="shared" si="4"/>
        <v>0</v>
      </c>
      <c r="S23" s="3"/>
      <c r="T23" s="7">
        <v>2469.66971095384</v>
      </c>
      <c r="U23" s="3"/>
      <c r="V23" s="8">
        <f t="shared" si="5"/>
        <v>0</v>
      </c>
      <c r="W23" s="3"/>
      <c r="X23" s="7">
        <f t="shared" si="6"/>
        <v>401.37028904616</v>
      </c>
      <c r="Y23" s="3"/>
      <c r="Z23" s="8">
        <f t="shared" si="7"/>
        <v>0.16251982492474351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11170.36</v>
      </c>
      <c r="E24" s="3"/>
      <c r="F24" s="8">
        <f t="shared" si="0"/>
        <v>0</v>
      </c>
      <c r="G24" s="3"/>
      <c r="H24" s="7">
        <v>7426.1099230769296</v>
      </c>
      <c r="I24" s="3"/>
      <c r="J24" s="8">
        <f t="shared" si="1"/>
        <v>0</v>
      </c>
      <c r="K24" s="3"/>
      <c r="L24" s="7">
        <f t="shared" si="2"/>
        <v>3744.250076923071</v>
      </c>
      <c r="M24" s="3"/>
      <c r="N24" s="8">
        <f t="shared" si="3"/>
        <v>0.50420073439630431</v>
      </c>
      <c r="O24" s="12"/>
      <c r="P24" s="7">
        <v>84655.01</v>
      </c>
      <c r="Q24" s="3"/>
      <c r="R24" s="8">
        <f t="shared" si="4"/>
        <v>0</v>
      </c>
      <c r="S24" s="3"/>
      <c r="T24" s="7">
        <v>67837.978861538504</v>
      </c>
      <c r="U24" s="3"/>
      <c r="V24" s="8">
        <f t="shared" si="5"/>
        <v>0</v>
      </c>
      <c r="W24" s="3"/>
      <c r="X24" s="7">
        <f t="shared" si="6"/>
        <v>16817.031138461491</v>
      </c>
      <c r="Y24" s="3"/>
      <c r="Z24" s="8">
        <f t="shared" si="7"/>
        <v>0.24789994366999182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>
        <v>2219</v>
      </c>
      <c r="E25" s="3"/>
      <c r="F25" s="8">
        <f t="shared" si="0"/>
        <v>0</v>
      </c>
      <c r="G25" s="3"/>
      <c r="H25" s="7">
        <v>417</v>
      </c>
      <c r="I25" s="3"/>
      <c r="J25" s="8">
        <f t="shared" si="1"/>
        <v>0</v>
      </c>
      <c r="K25" s="3"/>
      <c r="L25" s="7">
        <f t="shared" si="2"/>
        <v>1802</v>
      </c>
      <c r="M25" s="3"/>
      <c r="N25" s="8">
        <f t="shared" si="3"/>
        <v>4.3213429256594722</v>
      </c>
      <c r="O25" s="12"/>
      <c r="P25" s="7">
        <v>4855</v>
      </c>
      <c r="Q25" s="3"/>
      <c r="R25" s="8">
        <f t="shared" si="4"/>
        <v>0</v>
      </c>
      <c r="S25" s="3"/>
      <c r="T25" s="7">
        <v>4170</v>
      </c>
      <c r="U25" s="3"/>
      <c r="V25" s="8">
        <f t="shared" si="5"/>
        <v>0</v>
      </c>
      <c r="W25" s="3"/>
      <c r="X25" s="7">
        <f t="shared" si="6"/>
        <v>685</v>
      </c>
      <c r="Y25" s="3"/>
      <c r="Z25" s="8">
        <f t="shared" si="7"/>
        <v>0.16426858513189449</v>
      </c>
    </row>
    <row r="26" spans="1:26" s="70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7">
        <v>7512.05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7512.05</v>
      </c>
      <c r="M26" s="3"/>
      <c r="N26" s="8">
        <f t="shared" si="3"/>
        <v>0</v>
      </c>
      <c r="O26" s="12"/>
      <c r="P26" s="7">
        <v>16837.05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16837.05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7">
        <v>10154.620000000001</v>
      </c>
      <c r="E27" s="3"/>
      <c r="F27" s="8">
        <f t="shared" si="0"/>
        <v>0</v>
      </c>
      <c r="G27" s="3"/>
      <c r="H27" s="7">
        <v>5206.2835692307799</v>
      </c>
      <c r="I27" s="3"/>
      <c r="J27" s="8">
        <f t="shared" si="1"/>
        <v>0</v>
      </c>
      <c r="K27" s="3"/>
      <c r="L27" s="7">
        <f t="shared" si="2"/>
        <v>4948.3364307692209</v>
      </c>
      <c r="M27" s="3"/>
      <c r="N27" s="8">
        <f t="shared" si="3"/>
        <v>0.95045465060988399</v>
      </c>
      <c r="O27" s="12"/>
      <c r="P27" s="7">
        <v>85175.14</v>
      </c>
      <c r="Q27" s="3"/>
      <c r="R27" s="8">
        <f t="shared" si="4"/>
        <v>0</v>
      </c>
      <c r="S27" s="3"/>
      <c r="T27" s="7">
        <v>47261.930024615402</v>
      </c>
      <c r="U27" s="3"/>
      <c r="V27" s="8">
        <f t="shared" si="5"/>
        <v>0</v>
      </c>
      <c r="W27" s="3"/>
      <c r="X27" s="7">
        <f t="shared" si="6"/>
        <v>37913.209975384598</v>
      </c>
      <c r="Y27" s="3"/>
      <c r="Z27" s="8">
        <f t="shared" si="7"/>
        <v>0.80219343466587767</v>
      </c>
    </row>
    <row r="28" spans="1:26" s="70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7">
        <v>6882.81</v>
      </c>
      <c r="E28" s="3"/>
      <c r="F28" s="8">
        <f t="shared" si="0"/>
        <v>0</v>
      </c>
      <c r="G28" s="3"/>
      <c r="H28" s="7">
        <v>4512.8571230769303</v>
      </c>
      <c r="I28" s="3"/>
      <c r="J28" s="8">
        <f t="shared" si="1"/>
        <v>0</v>
      </c>
      <c r="K28" s="3"/>
      <c r="L28" s="7">
        <f t="shared" si="2"/>
        <v>2369.9528769230701</v>
      </c>
      <c r="M28" s="3"/>
      <c r="N28" s="8">
        <f t="shared" si="3"/>
        <v>0.52515575217395816</v>
      </c>
      <c r="O28" s="12"/>
      <c r="P28" s="7">
        <v>75899.3</v>
      </c>
      <c r="Q28" s="3"/>
      <c r="R28" s="8">
        <f t="shared" si="4"/>
        <v>0</v>
      </c>
      <c r="S28" s="3"/>
      <c r="T28" s="7">
        <v>40399.347452307797</v>
      </c>
      <c r="U28" s="3"/>
      <c r="V28" s="8">
        <f t="shared" si="5"/>
        <v>0</v>
      </c>
      <c r="W28" s="3"/>
      <c r="X28" s="7">
        <f t="shared" si="6"/>
        <v>35499.952547692206</v>
      </c>
      <c r="Y28" s="3"/>
      <c r="Z28" s="8">
        <f t="shared" si="7"/>
        <v>0.87872589005554058</v>
      </c>
    </row>
    <row r="29" spans="1:26" s="70" customFormat="1" ht="15" hidden="1" customHeight="1" outlineLevel="2" x14ac:dyDescent="0.3">
      <c r="A29" s="26"/>
      <c r="B29" s="12" t="str">
        <f>CONCATENATE("          ","6120"," - ","RETIREES HEALTH INSURANCE")</f>
        <v xml:space="preserve">          6120 - RETIREES HEALTH INSURANCE</v>
      </c>
      <c r="C29" s="12"/>
      <c r="D29" s="7">
        <v>25279.919999999998</v>
      </c>
      <c r="E29" s="3"/>
      <c r="F29" s="8">
        <f t="shared" si="0"/>
        <v>0</v>
      </c>
      <c r="G29" s="3"/>
      <c r="H29" s="7">
        <v>35000</v>
      </c>
      <c r="I29" s="3"/>
      <c r="J29" s="8">
        <f t="shared" si="1"/>
        <v>0</v>
      </c>
      <c r="K29" s="3"/>
      <c r="L29" s="7">
        <f t="shared" si="2"/>
        <v>-9720.0800000000017</v>
      </c>
      <c r="M29" s="3"/>
      <c r="N29" s="8">
        <f t="shared" si="3"/>
        <v>-0.27771657142857148</v>
      </c>
      <c r="O29" s="12"/>
      <c r="P29" s="7">
        <v>270471.86</v>
      </c>
      <c r="Q29" s="3"/>
      <c r="R29" s="8">
        <f t="shared" si="4"/>
        <v>0</v>
      </c>
      <c r="S29" s="3"/>
      <c r="T29" s="7">
        <v>350000</v>
      </c>
      <c r="U29" s="3"/>
      <c r="V29" s="8">
        <f t="shared" si="5"/>
        <v>0</v>
      </c>
      <c r="W29" s="3"/>
      <c r="X29" s="7">
        <f t="shared" si="6"/>
        <v>-79528.140000000014</v>
      </c>
      <c r="Y29" s="3"/>
      <c r="Z29" s="8">
        <f t="shared" si="7"/>
        <v>-0.22722325714285718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1912.79</v>
      </c>
      <c r="E30" s="3"/>
      <c r="F30" s="8">
        <f t="shared" si="0"/>
        <v>0</v>
      </c>
      <c r="G30" s="3"/>
      <c r="H30" s="7">
        <v>2400</v>
      </c>
      <c r="I30" s="3"/>
      <c r="J30" s="8">
        <f t="shared" si="1"/>
        <v>0</v>
      </c>
      <c r="K30" s="3"/>
      <c r="L30" s="7">
        <f t="shared" si="2"/>
        <v>-487.21000000000004</v>
      </c>
      <c r="M30" s="3"/>
      <c r="N30" s="8">
        <f t="shared" si="3"/>
        <v>-0.20300416666666668</v>
      </c>
      <c r="O30" s="12"/>
      <c r="P30" s="7">
        <v>16036.28</v>
      </c>
      <c r="Q30" s="3"/>
      <c r="R30" s="8">
        <f t="shared" si="4"/>
        <v>0</v>
      </c>
      <c r="S30" s="3"/>
      <c r="T30" s="7">
        <v>24000</v>
      </c>
      <c r="U30" s="3"/>
      <c r="V30" s="8">
        <f t="shared" si="5"/>
        <v>0</v>
      </c>
      <c r="W30" s="3"/>
      <c r="X30" s="7">
        <f t="shared" si="6"/>
        <v>-7963.7199999999993</v>
      </c>
      <c r="Y30" s="3"/>
      <c r="Z30" s="8">
        <f t="shared" si="7"/>
        <v>-0.33182166666666663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115973.22</v>
      </c>
      <c r="E31" s="2"/>
      <c r="F31" s="6">
        <f t="shared" si="0"/>
        <v>0</v>
      </c>
      <c r="G31" s="2"/>
      <c r="H31" s="2">
        <f>SUM(OSRRefH22_1x_0)</f>
        <v>119924.56489230761</v>
      </c>
      <c r="I31" s="2"/>
      <c r="J31" s="6">
        <f t="shared" si="1"/>
        <v>0</v>
      </c>
      <c r="K31" s="2"/>
      <c r="L31" s="2">
        <f t="shared" si="2"/>
        <v>-3951.3448923076066</v>
      </c>
      <c r="M31" s="2"/>
      <c r="N31" s="6">
        <f t="shared" si="3"/>
        <v>-3.2948586437281789E-2</v>
      </c>
      <c r="O31" s="14"/>
      <c r="P31" s="2">
        <f>SUM(OSRRefP22_1x_0)</f>
        <v>1047191.74</v>
      </c>
      <c r="Q31" s="2"/>
      <c r="R31" s="6">
        <f t="shared" si="4"/>
        <v>0</v>
      </c>
      <c r="S31" s="2"/>
      <c r="T31" s="2">
        <f>SUM(OSRRefT22_1x_0)</f>
        <v>1075895.0479753839</v>
      </c>
      <c r="U31" s="2"/>
      <c r="V31" s="6">
        <f t="shared" si="5"/>
        <v>0</v>
      </c>
      <c r="W31" s="2"/>
      <c r="X31" s="2">
        <f t="shared" si="6"/>
        <v>-28703.307975383941</v>
      </c>
      <c r="Y31" s="2"/>
      <c r="Z31" s="6">
        <f t="shared" si="7"/>
        <v>-2.6678538979613059E-2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32185.97</v>
      </c>
      <c r="E32" s="3"/>
      <c r="F32" s="8">
        <f t="shared" si="0"/>
        <v>0</v>
      </c>
      <c r="G32" s="3"/>
      <c r="H32" s="7">
        <v>34866.400000000001</v>
      </c>
      <c r="I32" s="3"/>
      <c r="J32" s="8">
        <f t="shared" si="1"/>
        <v>0</v>
      </c>
      <c r="K32" s="3"/>
      <c r="L32" s="7">
        <f t="shared" si="2"/>
        <v>-2680.4300000000003</v>
      </c>
      <c r="M32" s="3"/>
      <c r="N32" s="8">
        <f t="shared" si="3"/>
        <v>-7.6877165408530859E-2</v>
      </c>
      <c r="O32" s="12"/>
      <c r="P32" s="7">
        <v>284188.83</v>
      </c>
      <c r="Q32" s="3"/>
      <c r="R32" s="8">
        <f t="shared" si="4"/>
        <v>0</v>
      </c>
      <c r="S32" s="3"/>
      <c r="T32" s="7">
        <v>333442.396923077</v>
      </c>
      <c r="U32" s="3"/>
      <c r="V32" s="8">
        <f t="shared" si="5"/>
        <v>0</v>
      </c>
      <c r="W32" s="3"/>
      <c r="X32" s="7">
        <f t="shared" si="6"/>
        <v>-49253.566923076985</v>
      </c>
      <c r="Y32" s="3"/>
      <c r="Z32" s="8">
        <f t="shared" si="7"/>
        <v>-0.14771237064505466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54657.599999999999</v>
      </c>
      <c r="E33" s="3"/>
      <c r="F33" s="8">
        <f t="shared" si="0"/>
        <v>0</v>
      </c>
      <c r="G33" s="3"/>
      <c r="H33" s="7">
        <v>43959.607692307603</v>
      </c>
      <c r="I33" s="3"/>
      <c r="J33" s="8">
        <f t="shared" si="1"/>
        <v>0</v>
      </c>
      <c r="K33" s="3"/>
      <c r="L33" s="7">
        <f t="shared" si="2"/>
        <v>10697.992307692395</v>
      </c>
      <c r="M33" s="3"/>
      <c r="N33" s="8">
        <f t="shared" si="3"/>
        <v>0.24335959462086859</v>
      </c>
      <c r="O33" s="12"/>
      <c r="P33" s="7">
        <v>510285.8</v>
      </c>
      <c r="Q33" s="3"/>
      <c r="R33" s="8">
        <f t="shared" si="4"/>
        <v>0</v>
      </c>
      <c r="S33" s="3"/>
      <c r="T33" s="7">
        <v>386844.54769230698</v>
      </c>
      <c r="U33" s="3"/>
      <c r="V33" s="8">
        <f t="shared" si="5"/>
        <v>0</v>
      </c>
      <c r="W33" s="3"/>
      <c r="X33" s="7">
        <f t="shared" si="6"/>
        <v>123441.25230769301</v>
      </c>
      <c r="Y33" s="3"/>
      <c r="Z33" s="8">
        <f t="shared" si="7"/>
        <v>0.319097821189604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27188.59</v>
      </c>
      <c r="E35" s="3"/>
      <c r="F35" s="8">
        <f t="shared" si="0"/>
        <v>0</v>
      </c>
      <c r="G35" s="3"/>
      <c r="H35" s="7">
        <v>30052.557199999999</v>
      </c>
      <c r="I35" s="3"/>
      <c r="J35" s="8">
        <f t="shared" si="1"/>
        <v>0</v>
      </c>
      <c r="K35" s="3"/>
      <c r="L35" s="7">
        <f t="shared" si="2"/>
        <v>-2863.9671999999991</v>
      </c>
      <c r="M35" s="3"/>
      <c r="N35" s="8">
        <f t="shared" si="3"/>
        <v>-9.529861904730022E-2</v>
      </c>
      <c r="O35" s="12"/>
      <c r="P35" s="7">
        <v>207988.16</v>
      </c>
      <c r="Q35" s="3"/>
      <c r="R35" s="8">
        <f t="shared" si="4"/>
        <v>0</v>
      </c>
      <c r="S35" s="3"/>
      <c r="T35" s="7">
        <v>264462.50335999997</v>
      </c>
      <c r="U35" s="3"/>
      <c r="V35" s="8">
        <f t="shared" si="5"/>
        <v>0</v>
      </c>
      <c r="W35" s="3"/>
      <c r="X35" s="7">
        <f t="shared" si="6"/>
        <v>-56474.34335999997</v>
      </c>
      <c r="Y35" s="3"/>
      <c r="Z35" s="8">
        <f t="shared" si="7"/>
        <v>-0.21354385836363421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7701.02</v>
      </c>
      <c r="E36" s="3"/>
      <c r="F36" s="8">
        <f t="shared" si="0"/>
        <v>0</v>
      </c>
      <c r="G36" s="3"/>
      <c r="H36" s="7">
        <v>4850</v>
      </c>
      <c r="I36" s="3"/>
      <c r="J36" s="8">
        <f t="shared" si="1"/>
        <v>0</v>
      </c>
      <c r="K36" s="3"/>
      <c r="L36" s="7">
        <f t="shared" si="2"/>
        <v>2851.0200000000004</v>
      </c>
      <c r="M36" s="3"/>
      <c r="N36" s="8">
        <f t="shared" si="3"/>
        <v>0.58783917525773199</v>
      </c>
      <c r="O36" s="12"/>
      <c r="P36" s="7">
        <v>28917.89</v>
      </c>
      <c r="Q36" s="3"/>
      <c r="R36" s="8">
        <f t="shared" si="4"/>
        <v>0</v>
      </c>
      <c r="S36" s="3"/>
      <c r="T36" s="7">
        <v>42680</v>
      </c>
      <c r="U36" s="3"/>
      <c r="V36" s="8">
        <f t="shared" si="5"/>
        <v>0</v>
      </c>
      <c r="W36" s="3"/>
      <c r="X36" s="7">
        <f t="shared" si="6"/>
        <v>-13762.11</v>
      </c>
      <c r="Y36" s="3"/>
      <c r="Z36" s="8">
        <f t="shared" si="7"/>
        <v>-0.32244868791002812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-5759.96</v>
      </c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-5759.96</v>
      </c>
      <c r="M38" s="3"/>
      <c r="N38" s="8">
        <f t="shared" si="3"/>
        <v>0</v>
      </c>
      <c r="O38" s="12"/>
      <c r="P38" s="7">
        <v>4335.8599999999997</v>
      </c>
      <c r="Q38" s="3"/>
      <c r="R38" s="8">
        <f t="shared" si="4"/>
        <v>0</v>
      </c>
      <c r="S38" s="3"/>
      <c r="T38" s="7">
        <v>8320</v>
      </c>
      <c r="U38" s="3"/>
      <c r="V38" s="8">
        <f t="shared" si="5"/>
        <v>0</v>
      </c>
      <c r="W38" s="3"/>
      <c r="X38" s="7">
        <f t="shared" si="6"/>
        <v>-3984.1400000000003</v>
      </c>
      <c r="Y38" s="3"/>
      <c r="Z38" s="8">
        <f t="shared" si="7"/>
        <v>-0.47886298076923078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/>
      <c r="E39" s="3"/>
      <c r="F39" s="8">
        <f t="shared" si="0"/>
        <v>0</v>
      </c>
      <c r="G39" s="3"/>
      <c r="H39" s="7">
        <v>6196</v>
      </c>
      <c r="I39" s="3"/>
      <c r="J39" s="8">
        <f t="shared" si="1"/>
        <v>0</v>
      </c>
      <c r="K39" s="3"/>
      <c r="L39" s="7">
        <f t="shared" si="2"/>
        <v>-6196</v>
      </c>
      <c r="M39" s="3"/>
      <c r="N39" s="8">
        <f t="shared" si="3"/>
        <v>-1</v>
      </c>
      <c r="O39" s="12"/>
      <c r="P39" s="7">
        <v>11475.2</v>
      </c>
      <c r="Q39" s="3"/>
      <c r="R39" s="8">
        <f t="shared" si="4"/>
        <v>0</v>
      </c>
      <c r="S39" s="3"/>
      <c r="T39" s="7">
        <v>40145.599999999999</v>
      </c>
      <c r="U39" s="3"/>
      <c r="V39" s="8">
        <f t="shared" si="5"/>
        <v>0</v>
      </c>
      <c r="W39" s="3"/>
      <c r="X39" s="7">
        <f t="shared" si="6"/>
        <v>-28670.399999999998</v>
      </c>
      <c r="Y39" s="3"/>
      <c r="Z39" s="8">
        <f t="shared" si="7"/>
        <v>-0.71416045594037703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404.74</v>
      </c>
      <c r="E42" s="2"/>
      <c r="F42" s="6">
        <f t="shared" si="0"/>
        <v>0</v>
      </c>
      <c r="G42" s="2"/>
      <c r="H42" s="2">
        <f>SUM(OSRRefH22_2x_0)</f>
        <v>817</v>
      </c>
      <c r="I42" s="2"/>
      <c r="J42" s="6">
        <f t="shared" si="1"/>
        <v>0</v>
      </c>
      <c r="K42" s="2"/>
      <c r="L42" s="2">
        <f t="shared" si="2"/>
        <v>-412.26</v>
      </c>
      <c r="M42" s="2"/>
      <c r="N42" s="6">
        <f t="shared" si="3"/>
        <v>-0.50460220318237448</v>
      </c>
      <c r="O42" s="14"/>
      <c r="P42" s="2">
        <f>SUM(OSRRefP22_2x_0)</f>
        <v>4408.41</v>
      </c>
      <c r="Q42" s="2"/>
      <c r="R42" s="6">
        <f t="shared" si="4"/>
        <v>0</v>
      </c>
      <c r="S42" s="2"/>
      <c r="T42" s="2">
        <f>SUM(OSRRefT22_2x_0)</f>
        <v>7770</v>
      </c>
      <c r="U42" s="2"/>
      <c r="V42" s="6">
        <f t="shared" si="5"/>
        <v>0</v>
      </c>
      <c r="W42" s="2"/>
      <c r="X42" s="2">
        <f t="shared" si="6"/>
        <v>-3361.59</v>
      </c>
      <c r="Y42" s="2"/>
      <c r="Z42" s="6">
        <f t="shared" si="7"/>
        <v>-0.43263706563706567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>
        <v>404.74</v>
      </c>
      <c r="E43" s="3"/>
      <c r="F43" s="8">
        <f t="shared" si="0"/>
        <v>0</v>
      </c>
      <c r="G43" s="3"/>
      <c r="H43" s="7">
        <v>817</v>
      </c>
      <c r="I43" s="3"/>
      <c r="J43" s="8">
        <f t="shared" si="1"/>
        <v>0</v>
      </c>
      <c r="K43" s="3"/>
      <c r="L43" s="7">
        <f t="shared" si="2"/>
        <v>-412.26</v>
      </c>
      <c r="M43" s="3"/>
      <c r="N43" s="8">
        <f t="shared" si="3"/>
        <v>-0.50460220318237448</v>
      </c>
      <c r="O43" s="12"/>
      <c r="P43" s="7">
        <v>4408.41</v>
      </c>
      <c r="Q43" s="3"/>
      <c r="R43" s="8">
        <f t="shared" si="4"/>
        <v>0</v>
      </c>
      <c r="S43" s="3"/>
      <c r="T43" s="7">
        <v>7770</v>
      </c>
      <c r="U43" s="3"/>
      <c r="V43" s="8">
        <f t="shared" si="5"/>
        <v>0</v>
      </c>
      <c r="W43" s="3"/>
      <c r="X43" s="7">
        <f t="shared" si="6"/>
        <v>-3361.59</v>
      </c>
      <c r="Y43" s="3"/>
      <c r="Z43" s="8">
        <f t="shared" si="7"/>
        <v>-0.43263706563706567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3089.33</v>
      </c>
      <c r="E44" s="2"/>
      <c r="F44" s="6">
        <f t="shared" si="0"/>
        <v>0</v>
      </c>
      <c r="G44" s="2"/>
      <c r="H44" s="2">
        <f>SUM(OSRRefH22_3x_0)</f>
        <v>10000</v>
      </c>
      <c r="I44" s="2"/>
      <c r="J44" s="6">
        <f t="shared" si="1"/>
        <v>0</v>
      </c>
      <c r="K44" s="2"/>
      <c r="L44" s="2">
        <f t="shared" si="2"/>
        <v>-6910.67</v>
      </c>
      <c r="M44" s="2"/>
      <c r="N44" s="6">
        <f t="shared" si="3"/>
        <v>-0.69106699999999999</v>
      </c>
      <c r="O44" s="14"/>
      <c r="P44" s="2">
        <f>SUM(OSRRefP22_3x_0)</f>
        <v>12898.11</v>
      </c>
      <c r="Q44" s="2"/>
      <c r="R44" s="6">
        <f t="shared" si="4"/>
        <v>0</v>
      </c>
      <c r="S44" s="2"/>
      <c r="T44" s="2">
        <f>SUM(OSRRefT22_3x_0)</f>
        <v>41000</v>
      </c>
      <c r="U44" s="2"/>
      <c r="V44" s="6">
        <f t="shared" si="5"/>
        <v>0</v>
      </c>
      <c r="W44" s="2"/>
      <c r="X44" s="2">
        <f t="shared" si="6"/>
        <v>-28101.89</v>
      </c>
      <c r="Y44" s="2"/>
      <c r="Z44" s="6">
        <f t="shared" si="7"/>
        <v>-0.68541195121951215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7">
        <v>3089.33</v>
      </c>
      <c r="E45" s="3"/>
      <c r="F45" s="8">
        <f t="shared" si="0"/>
        <v>0</v>
      </c>
      <c r="G45" s="3"/>
      <c r="H45" s="7">
        <v>10000</v>
      </c>
      <c r="I45" s="3"/>
      <c r="J45" s="8">
        <f t="shared" si="1"/>
        <v>0</v>
      </c>
      <c r="K45" s="3"/>
      <c r="L45" s="7">
        <f t="shared" si="2"/>
        <v>-6910.67</v>
      </c>
      <c r="M45" s="3"/>
      <c r="N45" s="8">
        <f t="shared" si="3"/>
        <v>-0.69106699999999999</v>
      </c>
      <c r="O45" s="12"/>
      <c r="P45" s="7">
        <v>12898.11</v>
      </c>
      <c r="Q45" s="3"/>
      <c r="R45" s="8">
        <f t="shared" si="4"/>
        <v>0</v>
      </c>
      <c r="S45" s="3"/>
      <c r="T45" s="7">
        <v>41000</v>
      </c>
      <c r="U45" s="3"/>
      <c r="V45" s="8">
        <f t="shared" si="5"/>
        <v>0</v>
      </c>
      <c r="W45" s="3"/>
      <c r="X45" s="7">
        <f t="shared" si="6"/>
        <v>-28101.89</v>
      </c>
      <c r="Y45" s="3"/>
      <c r="Z45" s="8">
        <f t="shared" si="7"/>
        <v>-0.68541195121951215</v>
      </c>
    </row>
    <row r="46" spans="1:26" s="69" customFormat="1" ht="15" customHeight="1" outlineLevel="1" collapsed="1" x14ac:dyDescent="0.3">
      <c r="A46" s="25"/>
      <c r="B46" s="14" t="str">
        <f>CONCATENATE("     ","Board                                             ")</f>
        <v xml:space="preserve">     Board                                             </v>
      </c>
      <c r="C46" s="14"/>
      <c r="D46" s="2">
        <f>SUM(OSRRefD22_4x_0)</f>
        <v>3977.62</v>
      </c>
      <c r="E46" s="2"/>
      <c r="F46" s="6">
        <f t="shared" si="0"/>
        <v>0</v>
      </c>
      <c r="G46" s="2"/>
      <c r="H46" s="2">
        <f>SUM(OSRRefH22_4x_0)</f>
        <v>2508</v>
      </c>
      <c r="I46" s="2"/>
      <c r="J46" s="6">
        <f t="shared" si="1"/>
        <v>0</v>
      </c>
      <c r="K46" s="2"/>
      <c r="L46" s="2">
        <f t="shared" si="2"/>
        <v>1469.62</v>
      </c>
      <c r="M46" s="2"/>
      <c r="N46" s="6">
        <f t="shared" si="3"/>
        <v>0.58597288676236037</v>
      </c>
      <c r="O46" s="14"/>
      <c r="P46" s="2">
        <f>SUM(OSRRefP22_4x_0)</f>
        <v>18320.64</v>
      </c>
      <c r="Q46" s="2"/>
      <c r="R46" s="6">
        <f t="shared" si="4"/>
        <v>0</v>
      </c>
      <c r="S46" s="2"/>
      <c r="T46" s="2">
        <f>SUM(OSRRefT22_4x_0)</f>
        <v>17580</v>
      </c>
      <c r="U46" s="2"/>
      <c r="V46" s="6">
        <f t="shared" si="5"/>
        <v>0</v>
      </c>
      <c r="W46" s="2"/>
      <c r="X46" s="2">
        <f t="shared" si="6"/>
        <v>740.63999999999942</v>
      </c>
      <c r="Y46" s="2"/>
      <c r="Z46" s="6">
        <f t="shared" si="7"/>
        <v>4.2129692832764472E-2</v>
      </c>
    </row>
    <row r="47" spans="1:26" s="70" customFormat="1" ht="15" hidden="1" customHeight="1" outlineLevel="2" x14ac:dyDescent="0.3">
      <c r="A47" s="26"/>
      <c r="B47" s="12" t="str">
        <f>CONCATENATE("          ","6397"," - ","BOARD EXPENSES")</f>
        <v xml:space="preserve">          6397 - BOARD EXPENSES</v>
      </c>
      <c r="C47" s="12"/>
      <c r="D47" s="7">
        <v>3977.62</v>
      </c>
      <c r="E47" s="3"/>
      <c r="F47" s="8">
        <f t="shared" si="0"/>
        <v>0</v>
      </c>
      <c r="G47" s="3"/>
      <c r="H47" s="7">
        <v>2508</v>
      </c>
      <c r="I47" s="3"/>
      <c r="J47" s="8">
        <f t="shared" si="1"/>
        <v>0</v>
      </c>
      <c r="K47" s="3"/>
      <c r="L47" s="7">
        <f t="shared" si="2"/>
        <v>1469.62</v>
      </c>
      <c r="M47" s="3"/>
      <c r="N47" s="8">
        <f t="shared" si="3"/>
        <v>0.58597288676236037</v>
      </c>
      <c r="O47" s="12"/>
      <c r="P47" s="7">
        <v>18320.64</v>
      </c>
      <c r="Q47" s="3"/>
      <c r="R47" s="8">
        <f t="shared" si="4"/>
        <v>0</v>
      </c>
      <c r="S47" s="3"/>
      <c r="T47" s="7">
        <v>17580</v>
      </c>
      <c r="U47" s="3"/>
      <c r="V47" s="8">
        <f t="shared" si="5"/>
        <v>0</v>
      </c>
      <c r="W47" s="3"/>
      <c r="X47" s="7">
        <f t="shared" si="6"/>
        <v>740.63999999999942</v>
      </c>
      <c r="Y47" s="3"/>
      <c r="Z47" s="8">
        <f t="shared" si="7"/>
        <v>4.2129692832764472E-2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2455.7600000000002</v>
      </c>
      <c r="E48" s="2"/>
      <c r="F48" s="6">
        <f t="shared" si="0"/>
        <v>0</v>
      </c>
      <c r="G48" s="2"/>
      <c r="H48" s="2">
        <f>SUM(OSRRefH22_5x_0)</f>
        <v>2414</v>
      </c>
      <c r="I48" s="2"/>
      <c r="J48" s="6">
        <f t="shared" si="1"/>
        <v>0</v>
      </c>
      <c r="K48" s="2"/>
      <c r="L48" s="2">
        <f t="shared" si="2"/>
        <v>41.760000000000218</v>
      </c>
      <c r="M48" s="2"/>
      <c r="N48" s="6">
        <f t="shared" si="3"/>
        <v>1.7299088649544415E-2</v>
      </c>
      <c r="O48" s="14"/>
      <c r="P48" s="2">
        <f>SUM(OSRRefP22_5x_0)</f>
        <v>45901.04</v>
      </c>
      <c r="Q48" s="2"/>
      <c r="R48" s="6">
        <f t="shared" si="4"/>
        <v>0</v>
      </c>
      <c r="S48" s="2"/>
      <c r="T48" s="2">
        <f>SUM(OSRRefT22_5x_0)</f>
        <v>45483</v>
      </c>
      <c r="U48" s="2"/>
      <c r="V48" s="6">
        <f t="shared" si="5"/>
        <v>0</v>
      </c>
      <c r="W48" s="2"/>
      <c r="X48" s="2">
        <f t="shared" si="6"/>
        <v>418.04000000000087</v>
      </c>
      <c r="Y48" s="2"/>
      <c r="Z48" s="6">
        <f t="shared" si="7"/>
        <v>9.1911263549018501E-3</v>
      </c>
    </row>
    <row r="49" spans="1:26" s="70" customFormat="1" ht="15" hidden="1" customHeight="1" outlineLevel="2" x14ac:dyDescent="0.3">
      <c r="A49" s="26"/>
      <c r="B49" s="12" t="str">
        <f>CONCATENATE("          ","6322"," - ","EQUIPMENT DEPRECIATION EXPENSE")</f>
        <v xml:space="preserve">          6322 - EQUIPMENT DEPRECIATION EXPENSE</v>
      </c>
      <c r="C49" s="12"/>
      <c r="D49" s="7">
        <v>2455.7600000000002</v>
      </c>
      <c r="E49" s="3"/>
      <c r="F49" s="8">
        <f t="shared" si="0"/>
        <v>0</v>
      </c>
      <c r="G49" s="3"/>
      <c r="H49" s="7">
        <v>1914</v>
      </c>
      <c r="I49" s="3"/>
      <c r="J49" s="8">
        <f t="shared" si="1"/>
        <v>0</v>
      </c>
      <c r="K49" s="3"/>
      <c r="L49" s="7">
        <f t="shared" si="2"/>
        <v>541.76000000000022</v>
      </c>
      <c r="M49" s="3"/>
      <c r="N49" s="8">
        <f t="shared" si="3"/>
        <v>0.28305120167189146</v>
      </c>
      <c r="O49" s="12"/>
      <c r="P49" s="7">
        <v>45901.04</v>
      </c>
      <c r="Q49" s="3"/>
      <c r="R49" s="8">
        <f t="shared" si="4"/>
        <v>0</v>
      </c>
      <c r="S49" s="3"/>
      <c r="T49" s="7">
        <v>40483</v>
      </c>
      <c r="U49" s="3"/>
      <c r="V49" s="8">
        <f t="shared" si="5"/>
        <v>0</v>
      </c>
      <c r="W49" s="3"/>
      <c r="X49" s="7">
        <f t="shared" si="6"/>
        <v>5418.0400000000009</v>
      </c>
      <c r="Y49" s="3"/>
      <c r="Z49" s="8">
        <f t="shared" si="7"/>
        <v>0.13383494306252008</v>
      </c>
    </row>
    <row r="50" spans="1:26" s="70" customFormat="1" ht="15" hidden="1" customHeight="1" outlineLevel="2" x14ac:dyDescent="0.3">
      <c r="A50" s="26"/>
      <c r="B50" s="12" t="str">
        <f>CONCATENATE("          ","6324"," - ","FURNITURE + FIXT DEPRECIATION")</f>
        <v xml:space="preserve">          6324 - FURNITURE + FIXT DEPRECIATION</v>
      </c>
      <c r="C50" s="12"/>
      <c r="D50" s="7"/>
      <c r="E50" s="3"/>
      <c r="F50" s="8">
        <f t="shared" ref="F50:F81" si="8">IF(D$12=0,0,D50/D$12)</f>
        <v>0</v>
      </c>
      <c r="G50" s="3"/>
      <c r="H50" s="7">
        <v>500</v>
      </c>
      <c r="I50" s="3"/>
      <c r="J50" s="8">
        <f t="shared" ref="J50:J81" si="9">IF(H$12=0,0,H50/H$12)</f>
        <v>0</v>
      </c>
      <c r="K50" s="3"/>
      <c r="L50" s="7">
        <f t="shared" ref="L50:L81" si="10">+D50-H50</f>
        <v>-500</v>
      </c>
      <c r="M50" s="3"/>
      <c r="N50" s="8">
        <f t="shared" ref="N50:N81" si="11">IF(H50=0,0,L50/H50)</f>
        <v>-1</v>
      </c>
      <c r="O50" s="12"/>
      <c r="P50" s="7"/>
      <c r="Q50" s="3"/>
      <c r="R50" s="8">
        <f t="shared" ref="R50:R81" si="12">IF(P$12=0,0,P50/P$12)</f>
        <v>0</v>
      </c>
      <c r="S50" s="3"/>
      <c r="T50" s="7">
        <v>5000</v>
      </c>
      <c r="U50" s="3"/>
      <c r="V50" s="8">
        <f t="shared" ref="V50:V81" si="13">IF(T$12=0,0,T50/T$12)</f>
        <v>0</v>
      </c>
      <c r="W50" s="3"/>
      <c r="X50" s="7">
        <f t="shared" ref="X50:X81" si="14">+P50-T50</f>
        <v>-5000</v>
      </c>
      <c r="Y50" s="3"/>
      <c r="Z50" s="8">
        <f t="shared" ref="Z50:Z81" si="15">IF(T50=0,0,X50/T50)</f>
        <v>-1</v>
      </c>
    </row>
    <row r="51" spans="1:26" s="69" customFormat="1" ht="15" customHeight="1" outlineLevel="1" collapsed="1" x14ac:dyDescent="0.3">
      <c r="A51" s="25"/>
      <c r="B51" s="14" t="str">
        <f>CONCATENATE("     ","Donations                                         ")</f>
        <v xml:space="preserve">     Donations                                         </v>
      </c>
      <c r="C51" s="14"/>
      <c r="D51" s="2">
        <f>SUM(OSRRefD22_6x_0)</f>
        <v>0</v>
      </c>
      <c r="E51" s="2"/>
      <c r="F51" s="6">
        <f t="shared" si="8"/>
        <v>0</v>
      </c>
      <c r="G51" s="2"/>
      <c r="H51" s="2">
        <f>SUM(OSRRefH22_6x_0)</f>
        <v>10000</v>
      </c>
      <c r="I51" s="2"/>
      <c r="J51" s="6">
        <f t="shared" si="9"/>
        <v>0</v>
      </c>
      <c r="K51" s="2"/>
      <c r="L51" s="2">
        <f t="shared" si="10"/>
        <v>-10000</v>
      </c>
      <c r="M51" s="2"/>
      <c r="N51" s="6">
        <f t="shared" si="11"/>
        <v>-1</v>
      </c>
      <c r="O51" s="14"/>
      <c r="P51" s="2">
        <f>SUM(OSRRefP22_6x_0)</f>
        <v>25300</v>
      </c>
      <c r="Q51" s="2"/>
      <c r="R51" s="6">
        <f t="shared" si="12"/>
        <v>0</v>
      </c>
      <c r="S51" s="2"/>
      <c r="T51" s="2">
        <f>SUM(OSRRefT22_6x_0)</f>
        <v>63450</v>
      </c>
      <c r="U51" s="2"/>
      <c r="V51" s="6">
        <f t="shared" si="13"/>
        <v>0</v>
      </c>
      <c r="W51" s="2"/>
      <c r="X51" s="2">
        <f t="shared" si="14"/>
        <v>-38150</v>
      </c>
      <c r="Y51" s="2"/>
      <c r="Z51" s="6">
        <f t="shared" si="15"/>
        <v>-0.60126083530338847</v>
      </c>
    </row>
    <row r="52" spans="1:26" s="70" customFormat="1" ht="15" hidden="1" customHeight="1" outlineLevel="2" x14ac:dyDescent="0.3">
      <c r="A52" s="26"/>
      <c r="B52" s="12" t="str">
        <f>CONCATENATE("          ","6399"," - ","DONATION-ON CAMPUS")</f>
        <v xml:space="preserve">          6399 - DONATION-ON CAMPUS</v>
      </c>
      <c r="C52" s="12"/>
      <c r="D52" s="7"/>
      <c r="E52" s="3"/>
      <c r="F52" s="8">
        <f t="shared" si="8"/>
        <v>0</v>
      </c>
      <c r="G52" s="3"/>
      <c r="H52" s="7">
        <v>10000</v>
      </c>
      <c r="I52" s="3"/>
      <c r="J52" s="8">
        <f t="shared" si="9"/>
        <v>0</v>
      </c>
      <c r="K52" s="3"/>
      <c r="L52" s="7">
        <f t="shared" si="10"/>
        <v>-10000</v>
      </c>
      <c r="M52" s="3"/>
      <c r="N52" s="8">
        <f t="shared" si="11"/>
        <v>-1</v>
      </c>
      <c r="O52" s="12"/>
      <c r="P52" s="7">
        <v>25300</v>
      </c>
      <c r="Q52" s="3"/>
      <c r="R52" s="8">
        <f t="shared" si="12"/>
        <v>0</v>
      </c>
      <c r="S52" s="3"/>
      <c r="T52" s="7">
        <v>63450</v>
      </c>
      <c r="U52" s="3"/>
      <c r="V52" s="8">
        <f t="shared" si="13"/>
        <v>0</v>
      </c>
      <c r="W52" s="3"/>
      <c r="X52" s="7">
        <f t="shared" si="14"/>
        <v>-38150</v>
      </c>
      <c r="Y52" s="3"/>
      <c r="Z52" s="8">
        <f t="shared" si="15"/>
        <v>-0.60126083530338847</v>
      </c>
    </row>
    <row r="53" spans="1:26" s="69" customFormat="1" ht="15" customHeight="1" outlineLevel="1" collapsed="1" x14ac:dyDescent="0.3">
      <c r="A53" s="25"/>
      <c r="B53" s="14" t="str">
        <f>CONCATENATE("     ","Employees' Appreciation                           ")</f>
        <v xml:space="preserve">     Employees' Appreciation                           </v>
      </c>
      <c r="C53" s="14"/>
      <c r="D53" s="2">
        <f>SUM(OSRRefD22_7x_0)</f>
        <v>0</v>
      </c>
      <c r="E53" s="2"/>
      <c r="F53" s="6">
        <f t="shared" si="8"/>
        <v>0</v>
      </c>
      <c r="G53" s="2"/>
      <c r="H53" s="2">
        <f>SUM(OSRRefH22_7x_0)</f>
        <v>250</v>
      </c>
      <c r="I53" s="2"/>
      <c r="J53" s="6">
        <f t="shared" si="9"/>
        <v>0</v>
      </c>
      <c r="K53" s="2"/>
      <c r="L53" s="2">
        <f t="shared" si="10"/>
        <v>-250</v>
      </c>
      <c r="M53" s="2"/>
      <c r="N53" s="6">
        <f t="shared" si="11"/>
        <v>-1</v>
      </c>
      <c r="O53" s="14"/>
      <c r="P53" s="2">
        <f>SUM(OSRRefP22_7x_0)</f>
        <v>758.47</v>
      </c>
      <c r="Q53" s="2"/>
      <c r="R53" s="6">
        <f t="shared" si="12"/>
        <v>0</v>
      </c>
      <c r="S53" s="2"/>
      <c r="T53" s="2">
        <f>SUM(OSRRefT22_7x_0)</f>
        <v>6000</v>
      </c>
      <c r="U53" s="2"/>
      <c r="V53" s="6">
        <f t="shared" si="13"/>
        <v>0</v>
      </c>
      <c r="W53" s="2"/>
      <c r="X53" s="2">
        <f t="shared" si="14"/>
        <v>-5241.53</v>
      </c>
      <c r="Y53" s="2"/>
      <c r="Z53" s="6">
        <f t="shared" si="15"/>
        <v>-0.8735883333333333</v>
      </c>
    </row>
    <row r="54" spans="1:26" s="70" customFormat="1" ht="15" hidden="1" customHeight="1" outlineLevel="2" x14ac:dyDescent="0.3">
      <c r="A54" s="26"/>
      <c r="B54" s="12" t="str">
        <f>CONCATENATE("          ","6277"," - ","EMPLOYEE APPRECIATION")</f>
        <v xml:space="preserve">          6277 - EMPLOYEE APPRECIATION</v>
      </c>
      <c r="C54" s="12"/>
      <c r="D54" s="7"/>
      <c r="E54" s="3"/>
      <c r="F54" s="8">
        <f t="shared" si="8"/>
        <v>0</v>
      </c>
      <c r="G54" s="3"/>
      <c r="H54" s="7">
        <v>250</v>
      </c>
      <c r="I54" s="3"/>
      <c r="J54" s="8">
        <f t="shared" si="9"/>
        <v>0</v>
      </c>
      <c r="K54" s="3"/>
      <c r="L54" s="7">
        <f t="shared" si="10"/>
        <v>-250</v>
      </c>
      <c r="M54" s="3"/>
      <c r="N54" s="8">
        <f t="shared" si="11"/>
        <v>-1</v>
      </c>
      <c r="O54" s="12"/>
      <c r="P54" s="7">
        <v>758.47</v>
      </c>
      <c r="Q54" s="3"/>
      <c r="R54" s="8">
        <f t="shared" si="12"/>
        <v>0</v>
      </c>
      <c r="S54" s="3"/>
      <c r="T54" s="7">
        <v>6000</v>
      </c>
      <c r="U54" s="3"/>
      <c r="V54" s="8">
        <f t="shared" si="13"/>
        <v>0</v>
      </c>
      <c r="W54" s="3"/>
      <c r="X54" s="7">
        <f t="shared" si="14"/>
        <v>-5241.53</v>
      </c>
      <c r="Y54" s="3"/>
      <c r="Z54" s="8">
        <f t="shared" si="15"/>
        <v>-0.8735883333333333</v>
      </c>
    </row>
    <row r="55" spans="1:26" s="69" customFormat="1" ht="15" customHeight="1" outlineLevel="1" collapsed="1" x14ac:dyDescent="0.3">
      <c r="A55" s="25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SUM(OSRRefD22_8x_0)</f>
        <v>208.97</v>
      </c>
      <c r="E55" s="2"/>
      <c r="F55" s="6">
        <f t="shared" si="8"/>
        <v>0</v>
      </c>
      <c r="G55" s="2"/>
      <c r="H55" s="2">
        <f>SUM(OSRRefH22_8x_0)</f>
        <v>284</v>
      </c>
      <c r="I55" s="2"/>
      <c r="J55" s="6">
        <f t="shared" si="9"/>
        <v>0</v>
      </c>
      <c r="K55" s="2"/>
      <c r="L55" s="2">
        <f t="shared" si="10"/>
        <v>-75.03</v>
      </c>
      <c r="M55" s="2"/>
      <c r="N55" s="6">
        <f t="shared" si="11"/>
        <v>-0.26419014084507042</v>
      </c>
      <c r="O55" s="14"/>
      <c r="P55" s="2">
        <f>SUM(OSRRefP22_8x_0)</f>
        <v>2089.6999999999998</v>
      </c>
      <c r="Q55" s="2"/>
      <c r="R55" s="6">
        <f t="shared" si="12"/>
        <v>0</v>
      </c>
      <c r="S55" s="2"/>
      <c r="T55" s="2">
        <f>SUM(OSRRefT22_8x_0)</f>
        <v>2840</v>
      </c>
      <c r="U55" s="2"/>
      <c r="V55" s="6">
        <f t="shared" si="13"/>
        <v>0</v>
      </c>
      <c r="W55" s="2"/>
      <c r="X55" s="2">
        <f t="shared" si="14"/>
        <v>-750.30000000000018</v>
      </c>
      <c r="Y55" s="2"/>
      <c r="Z55" s="6">
        <f t="shared" si="15"/>
        <v>-0.26419014084507048</v>
      </c>
    </row>
    <row r="56" spans="1:26" s="70" customFormat="1" ht="15" hidden="1" customHeight="1" outlineLevel="2" x14ac:dyDescent="0.3">
      <c r="A56" s="26"/>
      <c r="B56" s="12" t="str">
        <f>CONCATENATE("          ","6351"," - ","EQUIPMENT RENTAL")</f>
        <v xml:space="preserve">          6351 - EQUIPMENT RENTAL</v>
      </c>
      <c r="C56" s="12"/>
      <c r="D56" s="7">
        <v>208.97</v>
      </c>
      <c r="E56" s="3"/>
      <c r="F56" s="8">
        <f t="shared" si="8"/>
        <v>0</v>
      </c>
      <c r="G56" s="3"/>
      <c r="H56" s="7">
        <v>284</v>
      </c>
      <c r="I56" s="3"/>
      <c r="J56" s="8">
        <f t="shared" si="9"/>
        <v>0</v>
      </c>
      <c r="K56" s="3"/>
      <c r="L56" s="7">
        <f t="shared" si="10"/>
        <v>-75.03</v>
      </c>
      <c r="M56" s="3"/>
      <c r="N56" s="8">
        <f t="shared" si="11"/>
        <v>-0.26419014084507042</v>
      </c>
      <c r="O56" s="12"/>
      <c r="P56" s="7">
        <v>2089.6999999999998</v>
      </c>
      <c r="Q56" s="3"/>
      <c r="R56" s="8">
        <f t="shared" si="12"/>
        <v>0</v>
      </c>
      <c r="S56" s="3"/>
      <c r="T56" s="7">
        <v>2840</v>
      </c>
      <c r="U56" s="3"/>
      <c r="V56" s="8">
        <f t="shared" si="13"/>
        <v>0</v>
      </c>
      <c r="W56" s="3"/>
      <c r="X56" s="7">
        <f t="shared" si="14"/>
        <v>-750.30000000000018</v>
      </c>
      <c r="Y56" s="3"/>
      <c r="Z56" s="8">
        <f t="shared" si="15"/>
        <v>-0.26419014084507048</v>
      </c>
    </row>
    <row r="57" spans="1:26" s="69" customFormat="1" ht="15" customHeight="1" outlineLevel="1" collapsed="1" x14ac:dyDescent="0.3">
      <c r="A57" s="25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SUM(OSRRefD22_9x_0)</f>
        <v>129.9</v>
      </c>
      <c r="E57" s="2"/>
      <c r="F57" s="6">
        <f t="shared" si="8"/>
        <v>0</v>
      </c>
      <c r="G57" s="2"/>
      <c r="H57" s="2">
        <f>SUM(OSRRefH22_9x_0)</f>
        <v>210</v>
      </c>
      <c r="I57" s="2"/>
      <c r="J57" s="6">
        <f t="shared" si="9"/>
        <v>0</v>
      </c>
      <c r="K57" s="2"/>
      <c r="L57" s="2">
        <f t="shared" si="10"/>
        <v>-80.099999999999994</v>
      </c>
      <c r="M57" s="2"/>
      <c r="N57" s="6">
        <f t="shared" si="11"/>
        <v>-0.38142857142857139</v>
      </c>
      <c r="O57" s="14"/>
      <c r="P57" s="2">
        <f>SUM(OSRRefP22_9x_0)</f>
        <v>1627.51</v>
      </c>
      <c r="Q57" s="2"/>
      <c r="R57" s="6">
        <f t="shared" si="12"/>
        <v>0</v>
      </c>
      <c r="S57" s="2"/>
      <c r="T57" s="2">
        <f>SUM(OSRRefT22_9x_0)</f>
        <v>2210</v>
      </c>
      <c r="U57" s="2"/>
      <c r="V57" s="6">
        <f t="shared" si="13"/>
        <v>0</v>
      </c>
      <c r="W57" s="2"/>
      <c r="X57" s="2">
        <f t="shared" si="14"/>
        <v>-582.49</v>
      </c>
      <c r="Y57" s="2"/>
      <c r="Z57" s="6">
        <f t="shared" si="15"/>
        <v>-0.26357013574660632</v>
      </c>
    </row>
    <row r="58" spans="1:26" s="70" customFormat="1" ht="15" hidden="1" customHeight="1" outlineLevel="2" x14ac:dyDescent="0.3">
      <c r="A58" s="26"/>
      <c r="B58" s="12" t="str">
        <f>CONCATENATE("          ","6307"," - ","POSTAGE")</f>
        <v xml:space="preserve">          6307 - POSTAGE</v>
      </c>
      <c r="C58" s="12"/>
      <c r="D58" s="7">
        <v>129.9</v>
      </c>
      <c r="E58" s="3"/>
      <c r="F58" s="8">
        <f t="shared" si="8"/>
        <v>0</v>
      </c>
      <c r="G58" s="3"/>
      <c r="H58" s="7">
        <v>210</v>
      </c>
      <c r="I58" s="3"/>
      <c r="J58" s="8">
        <f t="shared" si="9"/>
        <v>0</v>
      </c>
      <c r="K58" s="3"/>
      <c r="L58" s="7">
        <f t="shared" si="10"/>
        <v>-80.099999999999994</v>
      </c>
      <c r="M58" s="3"/>
      <c r="N58" s="8">
        <f t="shared" si="11"/>
        <v>-0.38142857142857139</v>
      </c>
      <c r="O58" s="12"/>
      <c r="P58" s="7">
        <v>1627.51</v>
      </c>
      <c r="Q58" s="3"/>
      <c r="R58" s="8">
        <f t="shared" si="12"/>
        <v>0</v>
      </c>
      <c r="S58" s="3"/>
      <c r="T58" s="7">
        <v>2210</v>
      </c>
      <c r="U58" s="3"/>
      <c r="V58" s="8">
        <f t="shared" si="13"/>
        <v>0</v>
      </c>
      <c r="W58" s="3"/>
      <c r="X58" s="7">
        <f t="shared" si="14"/>
        <v>-582.49</v>
      </c>
      <c r="Y58" s="3"/>
      <c r="Z58" s="8">
        <f t="shared" si="15"/>
        <v>-0.26357013574660632</v>
      </c>
    </row>
    <row r="59" spans="1:26" s="69" customFormat="1" ht="15" customHeight="1" outlineLevel="1" collapsed="1" x14ac:dyDescent="0.3">
      <c r="A59" s="25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SUM(OSRRefD22_10x_0)</f>
        <v>52.5</v>
      </c>
      <c r="E59" s="2"/>
      <c r="F59" s="6">
        <f t="shared" si="8"/>
        <v>0</v>
      </c>
      <c r="G59" s="2"/>
      <c r="H59" s="2">
        <f>SUM(OSRRefH22_10x_0)</f>
        <v>0</v>
      </c>
      <c r="I59" s="2"/>
      <c r="J59" s="6">
        <f t="shared" si="9"/>
        <v>0</v>
      </c>
      <c r="K59" s="2"/>
      <c r="L59" s="2">
        <f t="shared" si="10"/>
        <v>52.5</v>
      </c>
      <c r="M59" s="2"/>
      <c r="N59" s="6">
        <f t="shared" si="11"/>
        <v>0</v>
      </c>
      <c r="O59" s="14"/>
      <c r="P59" s="2">
        <f>SUM(OSRRefP22_10x_0)</f>
        <v>1282.03</v>
      </c>
      <c r="Q59" s="2"/>
      <c r="R59" s="6">
        <f t="shared" si="12"/>
        <v>0</v>
      </c>
      <c r="S59" s="2"/>
      <c r="T59" s="2">
        <f>SUM(OSRRefT22_10x_0)</f>
        <v>-750</v>
      </c>
      <c r="U59" s="2"/>
      <c r="V59" s="6">
        <f t="shared" si="13"/>
        <v>0</v>
      </c>
      <c r="W59" s="2"/>
      <c r="X59" s="2">
        <f t="shared" si="14"/>
        <v>2032.03</v>
      </c>
      <c r="Y59" s="2"/>
      <c r="Z59" s="6">
        <f t="shared" si="15"/>
        <v>-2.7093733333333332</v>
      </c>
    </row>
    <row r="60" spans="1:26" s="70" customFormat="1" ht="15" hidden="1" customHeight="1" outlineLevel="2" x14ac:dyDescent="0.3">
      <c r="A60" s="26"/>
      <c r="B60" s="12" t="str">
        <f>CONCATENATE("          ","6279"," - ","GENERAL EXPENSE")</f>
        <v xml:space="preserve">          6279 - GENERAL EXPENSE</v>
      </c>
      <c r="C60" s="12"/>
      <c r="D60" s="7">
        <v>52.5</v>
      </c>
      <c r="E60" s="3"/>
      <c r="F60" s="8">
        <f t="shared" si="8"/>
        <v>0</v>
      </c>
      <c r="G60" s="3"/>
      <c r="H60" s="7">
        <v>0</v>
      </c>
      <c r="I60" s="3"/>
      <c r="J60" s="8">
        <f t="shared" si="9"/>
        <v>0</v>
      </c>
      <c r="K60" s="3"/>
      <c r="L60" s="7">
        <f t="shared" si="10"/>
        <v>52.5</v>
      </c>
      <c r="M60" s="3"/>
      <c r="N60" s="8">
        <f t="shared" si="11"/>
        <v>0</v>
      </c>
      <c r="O60" s="12"/>
      <c r="P60" s="7">
        <v>1282.03</v>
      </c>
      <c r="Q60" s="3"/>
      <c r="R60" s="8">
        <f t="shared" si="12"/>
        <v>0</v>
      </c>
      <c r="S60" s="3"/>
      <c r="T60" s="7">
        <v>-750</v>
      </c>
      <c r="U60" s="3"/>
      <c r="V60" s="8">
        <f t="shared" si="13"/>
        <v>0</v>
      </c>
      <c r="W60" s="3"/>
      <c r="X60" s="7">
        <f t="shared" si="14"/>
        <v>2032.03</v>
      </c>
      <c r="Y60" s="3"/>
      <c r="Z60" s="8">
        <f t="shared" si="15"/>
        <v>-2.7093733333333332</v>
      </c>
    </row>
    <row r="61" spans="1:26" s="69" customFormat="1" ht="15" customHeight="1" outlineLevel="1" collapsed="1" x14ac:dyDescent="0.3">
      <c r="A61" s="25"/>
      <c r="B61" s="14" t="str">
        <f>CONCATENATE("     ","Insurance                                         ")</f>
        <v xml:space="preserve">     Insurance                                         </v>
      </c>
      <c r="C61" s="14"/>
      <c r="D61" s="2">
        <f>SUM(OSRRefD22_11x_0)</f>
        <v>535.05999999999995</v>
      </c>
      <c r="E61" s="2"/>
      <c r="F61" s="6">
        <f t="shared" si="8"/>
        <v>0</v>
      </c>
      <c r="G61" s="2"/>
      <c r="H61" s="2">
        <f>SUM(OSRRefH22_11x_0)</f>
        <v>530</v>
      </c>
      <c r="I61" s="2"/>
      <c r="J61" s="6">
        <f t="shared" si="9"/>
        <v>0</v>
      </c>
      <c r="K61" s="2"/>
      <c r="L61" s="2">
        <f t="shared" si="10"/>
        <v>5.0599999999999454</v>
      </c>
      <c r="M61" s="2"/>
      <c r="N61" s="6">
        <f t="shared" si="11"/>
        <v>9.5471698113206525E-3</v>
      </c>
      <c r="O61" s="14"/>
      <c r="P61" s="2">
        <f>SUM(OSRRefP22_11x_0)</f>
        <v>5350.6</v>
      </c>
      <c r="Q61" s="2"/>
      <c r="R61" s="6">
        <f t="shared" si="12"/>
        <v>0</v>
      </c>
      <c r="S61" s="2"/>
      <c r="T61" s="2">
        <f>SUM(OSRRefT22_11x_0)</f>
        <v>5300</v>
      </c>
      <c r="U61" s="2"/>
      <c r="V61" s="6">
        <f t="shared" si="13"/>
        <v>0</v>
      </c>
      <c r="W61" s="2"/>
      <c r="X61" s="2">
        <f t="shared" si="14"/>
        <v>50.600000000000364</v>
      </c>
      <c r="Y61" s="2"/>
      <c r="Z61" s="6">
        <f t="shared" si="15"/>
        <v>9.5471698113208242E-3</v>
      </c>
    </row>
    <row r="62" spans="1:26" s="70" customFormat="1" ht="15" hidden="1" customHeight="1" outlineLevel="2" x14ac:dyDescent="0.3">
      <c r="A62" s="26"/>
      <c r="B62" s="12" t="str">
        <f>CONCATENATE("          ","6314"," - ","LIABILITY INSURANCE")</f>
        <v xml:space="preserve">          6314 - LIABILITY INSURANCE</v>
      </c>
      <c r="C62" s="12"/>
      <c r="D62" s="7">
        <v>535.05999999999995</v>
      </c>
      <c r="E62" s="3"/>
      <c r="F62" s="8">
        <f t="shared" si="8"/>
        <v>0</v>
      </c>
      <c r="G62" s="3"/>
      <c r="H62" s="7">
        <v>530</v>
      </c>
      <c r="I62" s="3"/>
      <c r="J62" s="8">
        <f t="shared" si="9"/>
        <v>0</v>
      </c>
      <c r="K62" s="3"/>
      <c r="L62" s="7">
        <f t="shared" si="10"/>
        <v>5.0599999999999454</v>
      </c>
      <c r="M62" s="3"/>
      <c r="N62" s="8">
        <f t="shared" si="11"/>
        <v>9.5471698113206525E-3</v>
      </c>
      <c r="O62" s="12"/>
      <c r="P62" s="7">
        <v>5350.6</v>
      </c>
      <c r="Q62" s="3"/>
      <c r="R62" s="8">
        <f t="shared" si="12"/>
        <v>0</v>
      </c>
      <c r="S62" s="3"/>
      <c r="T62" s="7">
        <v>5300</v>
      </c>
      <c r="U62" s="3"/>
      <c r="V62" s="8">
        <f t="shared" si="13"/>
        <v>0</v>
      </c>
      <c r="W62" s="3"/>
      <c r="X62" s="7">
        <f t="shared" si="14"/>
        <v>50.600000000000364</v>
      </c>
      <c r="Y62" s="3"/>
      <c r="Z62" s="8">
        <f t="shared" si="15"/>
        <v>9.5471698113208242E-3</v>
      </c>
    </row>
    <row r="63" spans="1:26" s="69" customFormat="1" ht="15" customHeight="1" outlineLevel="1" collapsed="1" x14ac:dyDescent="0.3">
      <c r="A63" s="25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SUM(OSRRefD22_12x_0)</f>
        <v>10724.63</v>
      </c>
      <c r="E63" s="2"/>
      <c r="F63" s="6">
        <f t="shared" si="8"/>
        <v>0</v>
      </c>
      <c r="G63" s="2"/>
      <c r="H63" s="2">
        <f>SUM(OSRRefH22_12x_0)</f>
        <v>14666</v>
      </c>
      <c r="I63" s="2"/>
      <c r="J63" s="6">
        <f t="shared" si="9"/>
        <v>0</v>
      </c>
      <c r="K63" s="2"/>
      <c r="L63" s="2">
        <f t="shared" si="10"/>
        <v>-3941.3700000000008</v>
      </c>
      <c r="M63" s="2"/>
      <c r="N63" s="6">
        <f t="shared" si="11"/>
        <v>-0.26874198827219425</v>
      </c>
      <c r="O63" s="14"/>
      <c r="P63" s="2">
        <f>SUM(OSRRefP22_12x_0)</f>
        <v>109938.89</v>
      </c>
      <c r="Q63" s="2"/>
      <c r="R63" s="6">
        <f t="shared" si="12"/>
        <v>0</v>
      </c>
      <c r="S63" s="2"/>
      <c r="T63" s="2">
        <f>SUM(OSRRefT22_12x_0)</f>
        <v>147160</v>
      </c>
      <c r="U63" s="2"/>
      <c r="V63" s="6">
        <f t="shared" si="13"/>
        <v>0</v>
      </c>
      <c r="W63" s="2"/>
      <c r="X63" s="2">
        <f t="shared" si="14"/>
        <v>-37221.11</v>
      </c>
      <c r="Y63" s="2"/>
      <c r="Z63" s="6">
        <f t="shared" si="15"/>
        <v>-0.25292953248165262</v>
      </c>
    </row>
    <row r="64" spans="1:26" s="70" customFormat="1" ht="15" hidden="1" customHeight="1" outlineLevel="2" x14ac:dyDescent="0.3">
      <c r="A64" s="26"/>
      <c r="B64" s="12" t="str">
        <f>CONCATENATE("          ","6331"," - ","INDIRECT COSTS-AUXILIARY ORGAN")</f>
        <v xml:space="preserve">          6331 - INDIRECT COSTS-AUXILIARY ORGAN</v>
      </c>
      <c r="C64" s="12"/>
      <c r="D64" s="7">
        <v>10337.75</v>
      </c>
      <c r="E64" s="3"/>
      <c r="F64" s="8">
        <f t="shared" si="8"/>
        <v>0</v>
      </c>
      <c r="G64" s="3"/>
      <c r="H64" s="7">
        <v>13000</v>
      </c>
      <c r="I64" s="3"/>
      <c r="J64" s="8">
        <f t="shared" si="9"/>
        <v>0</v>
      </c>
      <c r="K64" s="3"/>
      <c r="L64" s="7">
        <f t="shared" si="10"/>
        <v>-2662.25</v>
      </c>
      <c r="M64" s="3"/>
      <c r="N64" s="8">
        <f t="shared" si="11"/>
        <v>-0.20478846153846153</v>
      </c>
      <c r="O64" s="12"/>
      <c r="P64" s="7">
        <v>89851</v>
      </c>
      <c r="Q64" s="3"/>
      <c r="R64" s="8">
        <f t="shared" si="12"/>
        <v>0</v>
      </c>
      <c r="S64" s="3"/>
      <c r="T64" s="7">
        <v>103000</v>
      </c>
      <c r="U64" s="3"/>
      <c r="V64" s="8">
        <f t="shared" si="13"/>
        <v>0</v>
      </c>
      <c r="W64" s="3"/>
      <c r="X64" s="7">
        <f t="shared" si="14"/>
        <v>-13149</v>
      </c>
      <c r="Y64" s="3"/>
      <c r="Z64" s="8">
        <f t="shared" si="15"/>
        <v>-0.12766019417475727</v>
      </c>
    </row>
    <row r="65" spans="1:26" s="70" customFormat="1" ht="15" hidden="1" customHeight="1" outlineLevel="2" x14ac:dyDescent="0.3">
      <c r="A65" s="26"/>
      <c r="B65" s="12" t="str">
        <f>CONCATENATE("          ","6332"," - ","CONSULTANT FEES")</f>
        <v xml:space="preserve">          6332 - CONSULTANT FEES</v>
      </c>
      <c r="C65" s="12"/>
      <c r="D65" s="7"/>
      <c r="E65" s="3"/>
      <c r="F65" s="8">
        <f t="shared" si="8"/>
        <v>0</v>
      </c>
      <c r="G65" s="3"/>
      <c r="H65" s="7">
        <v>0</v>
      </c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/>
      <c r="Q65" s="3"/>
      <c r="R65" s="8">
        <f t="shared" si="12"/>
        <v>0</v>
      </c>
      <c r="S65" s="3"/>
      <c r="T65" s="7">
        <v>19000</v>
      </c>
      <c r="U65" s="3"/>
      <c r="V65" s="8">
        <f t="shared" si="13"/>
        <v>0</v>
      </c>
      <c r="W65" s="3"/>
      <c r="X65" s="7">
        <f t="shared" si="14"/>
        <v>-19000</v>
      </c>
      <c r="Y65" s="3"/>
      <c r="Z65" s="8">
        <f t="shared" si="15"/>
        <v>-1</v>
      </c>
    </row>
    <row r="66" spans="1:26" s="70" customFormat="1" ht="15" hidden="1" customHeight="1" outlineLevel="2" x14ac:dyDescent="0.3">
      <c r="A66" s="26"/>
      <c r="B66" s="12" t="str">
        <f>CONCATENATE("          ","6334"," - ","LEGAL COUNCIL EXPENSE")</f>
        <v xml:space="preserve">          6334 - LEGAL COUNCIL EXPENSE</v>
      </c>
      <c r="C66" s="12"/>
      <c r="D66" s="7"/>
      <c r="E66" s="3"/>
      <c r="F66" s="8">
        <f t="shared" si="8"/>
        <v>0</v>
      </c>
      <c r="G66" s="3"/>
      <c r="H66" s="7">
        <v>833</v>
      </c>
      <c r="I66" s="3"/>
      <c r="J66" s="8">
        <f t="shared" si="9"/>
        <v>0</v>
      </c>
      <c r="K66" s="3"/>
      <c r="L66" s="7">
        <f t="shared" si="10"/>
        <v>-833</v>
      </c>
      <c r="M66" s="3"/>
      <c r="N66" s="8">
        <f t="shared" si="11"/>
        <v>-1</v>
      </c>
      <c r="O66" s="12"/>
      <c r="P66" s="7">
        <v>3455</v>
      </c>
      <c r="Q66" s="3"/>
      <c r="R66" s="8">
        <f t="shared" si="12"/>
        <v>0</v>
      </c>
      <c r="S66" s="3"/>
      <c r="T66" s="7">
        <v>11830</v>
      </c>
      <c r="U66" s="3"/>
      <c r="V66" s="8">
        <f t="shared" si="13"/>
        <v>0</v>
      </c>
      <c r="W66" s="3"/>
      <c r="X66" s="7">
        <f t="shared" si="14"/>
        <v>-8375</v>
      </c>
      <c r="Y66" s="3"/>
      <c r="Z66" s="8">
        <f t="shared" si="15"/>
        <v>-0.70794590025359261</v>
      </c>
    </row>
    <row r="67" spans="1:26" s="70" customFormat="1" ht="15" hidden="1" customHeight="1" outlineLevel="2" x14ac:dyDescent="0.3">
      <c r="A67" s="26"/>
      <c r="B67" s="12" t="str">
        <f>CONCATENATE("          ","6336"," - ","PROFESSIONAL SERVICES")</f>
        <v xml:space="preserve">          6336 - PROFESSIONAL SERVICES</v>
      </c>
      <c r="C67" s="12"/>
      <c r="D67" s="7">
        <v>386.88</v>
      </c>
      <c r="E67" s="3"/>
      <c r="F67" s="8">
        <f t="shared" si="8"/>
        <v>0</v>
      </c>
      <c r="G67" s="3"/>
      <c r="H67" s="7">
        <v>833</v>
      </c>
      <c r="I67" s="3"/>
      <c r="J67" s="8">
        <f t="shared" si="9"/>
        <v>0</v>
      </c>
      <c r="K67" s="3"/>
      <c r="L67" s="7">
        <f t="shared" si="10"/>
        <v>-446.12</v>
      </c>
      <c r="M67" s="3"/>
      <c r="N67" s="8">
        <f t="shared" si="11"/>
        <v>-0.53555822328931568</v>
      </c>
      <c r="O67" s="12"/>
      <c r="P67" s="7">
        <v>16632.89</v>
      </c>
      <c r="Q67" s="3"/>
      <c r="R67" s="8">
        <f t="shared" si="12"/>
        <v>0</v>
      </c>
      <c r="S67" s="3"/>
      <c r="T67" s="7">
        <v>13330</v>
      </c>
      <c r="U67" s="3"/>
      <c r="V67" s="8">
        <f t="shared" si="13"/>
        <v>0</v>
      </c>
      <c r="W67" s="3"/>
      <c r="X67" s="7">
        <f t="shared" si="14"/>
        <v>3302.8899999999994</v>
      </c>
      <c r="Y67" s="3"/>
      <c r="Z67" s="8">
        <f t="shared" si="15"/>
        <v>0.24777869467366836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SUM(OSRRefD22_13x_0)</f>
        <v>21385.59</v>
      </c>
      <c r="E68" s="2"/>
      <c r="F68" s="6">
        <f t="shared" si="8"/>
        <v>0</v>
      </c>
      <c r="G68" s="2"/>
      <c r="H68" s="2">
        <f>SUM(OSRRefH22_13x_0)</f>
        <v>27807</v>
      </c>
      <c r="I68" s="2"/>
      <c r="J68" s="6">
        <f t="shared" si="9"/>
        <v>0</v>
      </c>
      <c r="K68" s="2"/>
      <c r="L68" s="2">
        <f t="shared" si="10"/>
        <v>-6421.41</v>
      </c>
      <c r="M68" s="2"/>
      <c r="N68" s="6">
        <f t="shared" si="11"/>
        <v>-0.23092782392922645</v>
      </c>
      <c r="O68" s="14"/>
      <c r="P68" s="2">
        <f>SUM(OSRRefP22_13x_0)</f>
        <v>240713.84</v>
      </c>
      <c r="Q68" s="2"/>
      <c r="R68" s="6">
        <f t="shared" si="12"/>
        <v>0</v>
      </c>
      <c r="S68" s="2"/>
      <c r="T68" s="2">
        <f>SUM(OSRRefT22_13x_0)</f>
        <v>263670</v>
      </c>
      <c r="U68" s="2"/>
      <c r="V68" s="6">
        <f t="shared" si="13"/>
        <v>0</v>
      </c>
      <c r="W68" s="2"/>
      <c r="X68" s="2">
        <f t="shared" si="14"/>
        <v>-22956.160000000003</v>
      </c>
      <c r="Y68" s="2"/>
      <c r="Z68" s="6">
        <f t="shared" si="15"/>
        <v>-8.7063981492016551E-2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7">
        <v>8317.7000000000007</v>
      </c>
      <c r="E69" s="3"/>
      <c r="F69" s="8">
        <f t="shared" si="8"/>
        <v>0</v>
      </c>
      <c r="G69" s="3"/>
      <c r="H69" s="7">
        <v>14600</v>
      </c>
      <c r="I69" s="3"/>
      <c r="J69" s="8">
        <f t="shared" si="9"/>
        <v>0</v>
      </c>
      <c r="K69" s="3"/>
      <c r="L69" s="7">
        <f t="shared" si="10"/>
        <v>-6282.2999999999993</v>
      </c>
      <c r="M69" s="3"/>
      <c r="N69" s="8">
        <f t="shared" si="11"/>
        <v>-0.43029452054794515</v>
      </c>
      <c r="O69" s="12"/>
      <c r="P69" s="7">
        <v>105462.5</v>
      </c>
      <c r="Q69" s="3"/>
      <c r="R69" s="8">
        <f t="shared" si="12"/>
        <v>0</v>
      </c>
      <c r="S69" s="3"/>
      <c r="T69" s="7">
        <v>130000</v>
      </c>
      <c r="U69" s="3"/>
      <c r="V69" s="8">
        <f t="shared" si="13"/>
        <v>0</v>
      </c>
      <c r="W69" s="3"/>
      <c r="X69" s="7">
        <f t="shared" si="14"/>
        <v>-24537.5</v>
      </c>
      <c r="Y69" s="3"/>
      <c r="Z69" s="8">
        <f t="shared" si="15"/>
        <v>-0.18875</v>
      </c>
    </row>
    <row r="70" spans="1:26" s="70" customFormat="1" ht="15" hidden="1" customHeight="1" outlineLevel="2" x14ac:dyDescent="0.3">
      <c r="A70" s="26"/>
      <c r="B70" s="12" t="str">
        <f>CONCATENATE("          ","6372"," - ","COMPUTER HARDWARE MAINTENANCE")</f>
        <v xml:space="preserve">          6372 - COMPUTER HARDWARE MAINTENANCE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4760.47</v>
      </c>
      <c r="Q70" s="3"/>
      <c r="R70" s="8">
        <f t="shared" si="12"/>
        <v>0</v>
      </c>
      <c r="S70" s="3"/>
      <c r="T70" s="7">
        <v>3000</v>
      </c>
      <c r="U70" s="3"/>
      <c r="V70" s="8">
        <f t="shared" si="13"/>
        <v>0</v>
      </c>
      <c r="W70" s="3"/>
      <c r="X70" s="7">
        <f t="shared" si="14"/>
        <v>1760.4700000000003</v>
      </c>
      <c r="Y70" s="3"/>
      <c r="Z70" s="8">
        <f t="shared" si="15"/>
        <v>0.58682333333333336</v>
      </c>
    </row>
    <row r="71" spans="1:26" s="70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7">
        <v>13067.89</v>
      </c>
      <c r="E71" s="3"/>
      <c r="F71" s="8">
        <f t="shared" si="8"/>
        <v>0</v>
      </c>
      <c r="G71" s="3"/>
      <c r="H71" s="7">
        <v>13057</v>
      </c>
      <c r="I71" s="3"/>
      <c r="J71" s="8">
        <f t="shared" si="9"/>
        <v>0</v>
      </c>
      <c r="K71" s="3"/>
      <c r="L71" s="7">
        <f t="shared" si="10"/>
        <v>10.889999999999418</v>
      </c>
      <c r="M71" s="3"/>
      <c r="N71" s="8">
        <f t="shared" si="11"/>
        <v>8.3403538331924777E-4</v>
      </c>
      <c r="O71" s="12"/>
      <c r="P71" s="7">
        <v>128636.18</v>
      </c>
      <c r="Q71" s="3"/>
      <c r="R71" s="8">
        <f t="shared" si="12"/>
        <v>0</v>
      </c>
      <c r="S71" s="3"/>
      <c r="T71" s="7">
        <v>129170</v>
      </c>
      <c r="U71" s="3"/>
      <c r="V71" s="8">
        <f t="shared" si="13"/>
        <v>0</v>
      </c>
      <c r="W71" s="3"/>
      <c r="X71" s="7">
        <f t="shared" si="14"/>
        <v>-533.82000000000698</v>
      </c>
      <c r="Y71" s="3"/>
      <c r="Z71" s="8">
        <f t="shared" si="15"/>
        <v>-4.1326933498490905E-3</v>
      </c>
    </row>
    <row r="72" spans="1:26" s="70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7">
        <v>0</v>
      </c>
      <c r="E72" s="3"/>
      <c r="F72" s="8">
        <f t="shared" si="8"/>
        <v>0</v>
      </c>
      <c r="G72" s="3"/>
      <c r="H72" s="7">
        <v>150</v>
      </c>
      <c r="I72" s="3"/>
      <c r="J72" s="8">
        <f t="shared" si="9"/>
        <v>0</v>
      </c>
      <c r="K72" s="3"/>
      <c r="L72" s="7">
        <f t="shared" si="10"/>
        <v>-150</v>
      </c>
      <c r="M72" s="3"/>
      <c r="N72" s="8">
        <f t="shared" si="11"/>
        <v>-1</v>
      </c>
      <c r="O72" s="12"/>
      <c r="P72" s="7">
        <v>1854.69</v>
      </c>
      <c r="Q72" s="3"/>
      <c r="R72" s="8">
        <f t="shared" si="12"/>
        <v>0</v>
      </c>
      <c r="S72" s="3"/>
      <c r="T72" s="7">
        <v>1500</v>
      </c>
      <c r="U72" s="3"/>
      <c r="V72" s="8">
        <f t="shared" si="13"/>
        <v>0</v>
      </c>
      <c r="W72" s="3"/>
      <c r="X72" s="7">
        <f t="shared" si="14"/>
        <v>354.69000000000005</v>
      </c>
      <c r="Y72" s="3"/>
      <c r="Z72" s="8">
        <f t="shared" si="15"/>
        <v>0.23646000000000003</v>
      </c>
    </row>
    <row r="73" spans="1:26" s="69" customFormat="1" ht="15" customHeight="1" outlineLevel="1" collapsed="1" x14ac:dyDescent="0.3">
      <c r="A73" s="25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SUM(OSRRefD22_14x_0)</f>
        <v>0</v>
      </c>
      <c r="E73" s="2"/>
      <c r="F73" s="6">
        <f t="shared" si="8"/>
        <v>0</v>
      </c>
      <c r="G73" s="2"/>
      <c r="H73" s="2">
        <f>SUM(OSRRefH22_14x_0)</f>
        <v>650</v>
      </c>
      <c r="I73" s="2"/>
      <c r="J73" s="6">
        <f t="shared" si="9"/>
        <v>0</v>
      </c>
      <c r="K73" s="2"/>
      <c r="L73" s="2">
        <f t="shared" si="10"/>
        <v>-650</v>
      </c>
      <c r="M73" s="2"/>
      <c r="N73" s="6">
        <f t="shared" si="11"/>
        <v>-1</v>
      </c>
      <c r="O73" s="14"/>
      <c r="P73" s="2">
        <f>SUM(OSRRefP22_14x_0)</f>
        <v>8104.68</v>
      </c>
      <c r="Q73" s="2"/>
      <c r="R73" s="6">
        <f t="shared" si="12"/>
        <v>0</v>
      </c>
      <c r="S73" s="2"/>
      <c r="T73" s="2">
        <f>SUM(OSRRefT22_14x_0)</f>
        <v>6500</v>
      </c>
      <c r="U73" s="2"/>
      <c r="V73" s="6">
        <f t="shared" si="13"/>
        <v>0</v>
      </c>
      <c r="W73" s="2"/>
      <c r="X73" s="2">
        <f t="shared" si="14"/>
        <v>1604.6800000000003</v>
      </c>
      <c r="Y73" s="2"/>
      <c r="Z73" s="6">
        <f t="shared" si="15"/>
        <v>0.24687384615384619</v>
      </c>
    </row>
    <row r="74" spans="1:26" s="70" customFormat="1" ht="15" hidden="1" customHeight="1" outlineLevel="2" x14ac:dyDescent="0.3">
      <c r="A74" s="26"/>
      <c r="B74" s="12" t="str">
        <f>CONCATENATE("          ","6281"," - ","STORAGE FEE")</f>
        <v xml:space="preserve">          6281 - STORAGE FEE</v>
      </c>
      <c r="C74" s="12"/>
      <c r="D74" s="7"/>
      <c r="E74" s="3"/>
      <c r="F74" s="8">
        <f t="shared" si="8"/>
        <v>0</v>
      </c>
      <c r="G74" s="3"/>
      <c r="H74" s="7">
        <v>625</v>
      </c>
      <c r="I74" s="3"/>
      <c r="J74" s="8">
        <f t="shared" si="9"/>
        <v>0</v>
      </c>
      <c r="K74" s="3"/>
      <c r="L74" s="7">
        <f t="shared" si="10"/>
        <v>-625</v>
      </c>
      <c r="M74" s="3"/>
      <c r="N74" s="8">
        <f t="shared" si="11"/>
        <v>-1</v>
      </c>
      <c r="O74" s="12"/>
      <c r="P74" s="7">
        <v>8104.68</v>
      </c>
      <c r="Q74" s="3"/>
      <c r="R74" s="8">
        <f t="shared" si="12"/>
        <v>0</v>
      </c>
      <c r="S74" s="3"/>
      <c r="T74" s="7">
        <v>6250</v>
      </c>
      <c r="U74" s="3"/>
      <c r="V74" s="8">
        <f t="shared" si="13"/>
        <v>0</v>
      </c>
      <c r="W74" s="3"/>
      <c r="X74" s="7">
        <f t="shared" si="14"/>
        <v>1854.6800000000003</v>
      </c>
      <c r="Y74" s="3"/>
      <c r="Z74" s="8">
        <f t="shared" si="15"/>
        <v>0.29674880000000003</v>
      </c>
    </row>
    <row r="75" spans="1:26" s="70" customFormat="1" ht="15" hidden="1" customHeight="1" outlineLevel="2" x14ac:dyDescent="0.3">
      <c r="A75" s="26"/>
      <c r="B75" s="12" t="str">
        <f>CONCATENATE("          ","6286"," - ","LAUNDRY EXPENSE")</f>
        <v xml:space="preserve">          6286 - LAUNDRY EXPENSE</v>
      </c>
      <c r="C75" s="12"/>
      <c r="D75" s="7"/>
      <c r="E75" s="3"/>
      <c r="F75" s="8">
        <f t="shared" si="8"/>
        <v>0</v>
      </c>
      <c r="G75" s="3"/>
      <c r="H75" s="7">
        <v>25</v>
      </c>
      <c r="I75" s="3"/>
      <c r="J75" s="8">
        <f t="shared" si="9"/>
        <v>0</v>
      </c>
      <c r="K75" s="3"/>
      <c r="L75" s="7">
        <f t="shared" si="10"/>
        <v>-25</v>
      </c>
      <c r="M75" s="3"/>
      <c r="N75" s="8">
        <f t="shared" si="11"/>
        <v>-1</v>
      </c>
      <c r="O75" s="12"/>
      <c r="P75" s="7"/>
      <c r="Q75" s="3"/>
      <c r="R75" s="8">
        <f t="shared" si="12"/>
        <v>0</v>
      </c>
      <c r="S75" s="3"/>
      <c r="T75" s="7">
        <v>250</v>
      </c>
      <c r="U75" s="3"/>
      <c r="V75" s="8">
        <f t="shared" si="13"/>
        <v>0</v>
      </c>
      <c r="W75" s="3"/>
      <c r="X75" s="7">
        <f t="shared" si="14"/>
        <v>-250</v>
      </c>
      <c r="Y75" s="3"/>
      <c r="Z75" s="8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2">
        <f>SUM(OSRRefD22_15x_0)</f>
        <v>3847</v>
      </c>
      <c r="E76" s="2"/>
      <c r="F76" s="6">
        <f t="shared" si="8"/>
        <v>0</v>
      </c>
      <c r="G76" s="2"/>
      <c r="H76" s="2">
        <f>SUM(OSRRefH22_15x_0)</f>
        <v>4668</v>
      </c>
      <c r="I76" s="2"/>
      <c r="J76" s="6">
        <f t="shared" si="9"/>
        <v>0</v>
      </c>
      <c r="K76" s="2"/>
      <c r="L76" s="2">
        <f t="shared" si="10"/>
        <v>-821</v>
      </c>
      <c r="M76" s="2"/>
      <c r="N76" s="6">
        <f t="shared" si="11"/>
        <v>-0.1758783204798629</v>
      </c>
      <c r="O76" s="14"/>
      <c r="P76" s="2">
        <f>SUM(OSRRefP22_15x_0)</f>
        <v>8352.9</v>
      </c>
      <c r="Q76" s="2"/>
      <c r="R76" s="6">
        <f t="shared" si="12"/>
        <v>0</v>
      </c>
      <c r="S76" s="2"/>
      <c r="T76" s="2">
        <f>SUM(OSRRefT22_15x_0)</f>
        <v>8493</v>
      </c>
      <c r="U76" s="2"/>
      <c r="V76" s="6">
        <f t="shared" si="13"/>
        <v>0</v>
      </c>
      <c r="W76" s="2"/>
      <c r="X76" s="2">
        <f t="shared" si="14"/>
        <v>-140.10000000000036</v>
      </c>
      <c r="Y76" s="2"/>
      <c r="Z76" s="6">
        <f t="shared" si="15"/>
        <v>-1.6495937831155112E-2</v>
      </c>
    </row>
    <row r="77" spans="1:26" s="70" customFormat="1" ht="15" hidden="1" customHeight="1" outlineLevel="2" x14ac:dyDescent="0.3">
      <c r="A77" s="26"/>
      <c r="B77" s="12" t="str">
        <f>CONCATENATE("          ","6258"," - ","MEMBERSHIP DUES")</f>
        <v xml:space="preserve">          6258 - MEMBERSHIP DUES</v>
      </c>
      <c r="C77" s="12"/>
      <c r="D77" s="7">
        <v>3847</v>
      </c>
      <c r="E77" s="3"/>
      <c r="F77" s="8">
        <f t="shared" si="8"/>
        <v>0</v>
      </c>
      <c r="G77" s="3"/>
      <c r="H77" s="7">
        <v>4668</v>
      </c>
      <c r="I77" s="3"/>
      <c r="J77" s="8">
        <f t="shared" si="9"/>
        <v>0</v>
      </c>
      <c r="K77" s="3"/>
      <c r="L77" s="7">
        <f t="shared" si="10"/>
        <v>-821</v>
      </c>
      <c r="M77" s="3"/>
      <c r="N77" s="8">
        <f t="shared" si="11"/>
        <v>-0.1758783204798629</v>
      </c>
      <c r="O77" s="12"/>
      <c r="P77" s="7">
        <v>7074</v>
      </c>
      <c r="Q77" s="3"/>
      <c r="R77" s="8">
        <f t="shared" si="12"/>
        <v>0</v>
      </c>
      <c r="S77" s="3"/>
      <c r="T77" s="7">
        <v>7893</v>
      </c>
      <c r="U77" s="3"/>
      <c r="V77" s="8">
        <f t="shared" si="13"/>
        <v>0</v>
      </c>
      <c r="W77" s="3"/>
      <c r="X77" s="7">
        <f t="shared" si="14"/>
        <v>-819</v>
      </c>
      <c r="Y77" s="3"/>
      <c r="Z77" s="8">
        <f t="shared" si="15"/>
        <v>-0.10376282782212087</v>
      </c>
    </row>
    <row r="78" spans="1:26" s="70" customFormat="1" ht="15" hidden="1" customHeight="1" outlineLevel="2" x14ac:dyDescent="0.3">
      <c r="A78" s="26"/>
      <c r="B78" s="12" t="str">
        <f>CONCATENATE("          ","6275"," - ","SUBSCRIPTIONS")</f>
        <v xml:space="preserve">          6275 - SUBSCRIPTIONS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1278.9000000000001</v>
      </c>
      <c r="Q78" s="3"/>
      <c r="R78" s="8">
        <f t="shared" si="12"/>
        <v>0</v>
      </c>
      <c r="S78" s="3"/>
      <c r="T78" s="7">
        <v>600</v>
      </c>
      <c r="U78" s="3"/>
      <c r="V78" s="8">
        <f t="shared" si="13"/>
        <v>0</v>
      </c>
      <c r="W78" s="3"/>
      <c r="X78" s="7">
        <f t="shared" si="14"/>
        <v>678.90000000000009</v>
      </c>
      <c r="Y78" s="3"/>
      <c r="Z78" s="8">
        <f t="shared" si="15"/>
        <v>1.1315000000000002</v>
      </c>
    </row>
    <row r="79" spans="1:26" s="69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SUM(OSRRefD22_16x_0)</f>
        <v>1188.9299999999998</v>
      </c>
      <c r="E79" s="2"/>
      <c r="F79" s="6">
        <f t="shared" si="8"/>
        <v>0</v>
      </c>
      <c r="G79" s="2"/>
      <c r="H79" s="2">
        <f>SUM(OSRRefH22_16x_0)</f>
        <v>2784</v>
      </c>
      <c r="I79" s="2"/>
      <c r="J79" s="6">
        <f t="shared" si="9"/>
        <v>0</v>
      </c>
      <c r="K79" s="2"/>
      <c r="L79" s="2">
        <f t="shared" si="10"/>
        <v>-1595.0700000000002</v>
      </c>
      <c r="M79" s="2"/>
      <c r="N79" s="6">
        <f t="shared" si="11"/>
        <v>-0.57294181034482761</v>
      </c>
      <c r="O79" s="14"/>
      <c r="P79" s="2">
        <f>SUM(OSRRefP22_16x_0)</f>
        <v>45112.800000000003</v>
      </c>
      <c r="Q79" s="2"/>
      <c r="R79" s="6">
        <f t="shared" si="12"/>
        <v>0</v>
      </c>
      <c r="S79" s="2"/>
      <c r="T79" s="2">
        <f>SUM(OSRRefT22_16x_0)</f>
        <v>32840</v>
      </c>
      <c r="U79" s="2"/>
      <c r="V79" s="6">
        <f t="shared" si="13"/>
        <v>0</v>
      </c>
      <c r="W79" s="2"/>
      <c r="X79" s="2">
        <f t="shared" si="14"/>
        <v>12272.800000000003</v>
      </c>
      <c r="Y79" s="2"/>
      <c r="Z79" s="6">
        <f t="shared" si="15"/>
        <v>0.37371498172959816</v>
      </c>
    </row>
    <row r="80" spans="1:26" s="70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7"/>
      <c r="E80" s="3"/>
      <c r="F80" s="8">
        <f t="shared" si="8"/>
        <v>0</v>
      </c>
      <c r="G80" s="3"/>
      <c r="H80" s="7">
        <v>125</v>
      </c>
      <c r="I80" s="3"/>
      <c r="J80" s="8">
        <f t="shared" si="9"/>
        <v>0</v>
      </c>
      <c r="K80" s="3"/>
      <c r="L80" s="7">
        <f t="shared" si="10"/>
        <v>-125</v>
      </c>
      <c r="M80" s="3"/>
      <c r="N80" s="8">
        <f t="shared" si="11"/>
        <v>-1</v>
      </c>
      <c r="O80" s="12"/>
      <c r="P80" s="7">
        <v>2723.52</v>
      </c>
      <c r="Q80" s="3"/>
      <c r="R80" s="8">
        <f t="shared" si="12"/>
        <v>0</v>
      </c>
      <c r="S80" s="3"/>
      <c r="T80" s="7">
        <v>1250</v>
      </c>
      <c r="U80" s="3"/>
      <c r="V80" s="8">
        <f t="shared" si="13"/>
        <v>0</v>
      </c>
      <c r="W80" s="3"/>
      <c r="X80" s="7">
        <f t="shared" si="14"/>
        <v>1473.52</v>
      </c>
      <c r="Y80" s="3"/>
      <c r="Z80" s="8">
        <f t="shared" si="15"/>
        <v>1.1788160000000001</v>
      </c>
    </row>
    <row r="81" spans="1:26" s="70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2636.13</v>
      </c>
      <c r="Q81" s="3"/>
      <c r="R81" s="8">
        <f t="shared" si="12"/>
        <v>0</v>
      </c>
      <c r="S81" s="3"/>
      <c r="T81" s="7"/>
      <c r="U81" s="3"/>
      <c r="V81" s="8">
        <f t="shared" si="13"/>
        <v>0</v>
      </c>
      <c r="W81" s="3"/>
      <c r="X81" s="7">
        <f t="shared" si="14"/>
        <v>2636.13</v>
      </c>
      <c r="Y81" s="3"/>
      <c r="Z81" s="8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","6241"," - ","OFFICE EXPENSE")</f>
        <v xml:space="preserve">          6241 - OFFICE EXPENSE</v>
      </c>
      <c r="C82" s="12"/>
      <c r="D82" s="7">
        <v>117.79</v>
      </c>
      <c r="E82" s="3"/>
      <c r="F82" s="8">
        <f t="shared" ref="F82:F93" si="16">IF(D$12=0,0,D82/D$12)</f>
        <v>0</v>
      </c>
      <c r="G82" s="3"/>
      <c r="H82" s="7">
        <v>2242</v>
      </c>
      <c r="I82" s="3"/>
      <c r="J82" s="8">
        <f t="shared" ref="J82:J93" si="17">IF(H$12=0,0,H82/H$12)</f>
        <v>0</v>
      </c>
      <c r="K82" s="3"/>
      <c r="L82" s="7">
        <f t="shared" ref="L82:L93" si="18">+D82-H82</f>
        <v>-2124.21</v>
      </c>
      <c r="M82" s="3"/>
      <c r="N82" s="8">
        <f t="shared" ref="N82:N93" si="19">IF(H82=0,0,L82/H82)</f>
        <v>-0.94746208742194471</v>
      </c>
      <c r="O82" s="12"/>
      <c r="P82" s="7">
        <v>26745.72</v>
      </c>
      <c r="Q82" s="3"/>
      <c r="R82" s="8">
        <f t="shared" ref="R82:R93" si="20">IF(P$12=0,0,P82/P$12)</f>
        <v>0</v>
      </c>
      <c r="S82" s="3"/>
      <c r="T82" s="7">
        <v>22420</v>
      </c>
      <c r="U82" s="3"/>
      <c r="V82" s="8">
        <f t="shared" ref="V82:V93" si="21">IF(T$12=0,0,T82/T$12)</f>
        <v>0</v>
      </c>
      <c r="W82" s="3"/>
      <c r="X82" s="7">
        <f t="shared" ref="X82:X93" si="22">+P82-T82</f>
        <v>4325.7200000000012</v>
      </c>
      <c r="Y82" s="3"/>
      <c r="Z82" s="8">
        <f t="shared" ref="Z82:Z93" si="23">IF(T82=0,0,X82/T82)</f>
        <v>0.19294023193577167</v>
      </c>
    </row>
    <row r="83" spans="1:26" s="70" customFormat="1" ht="15" hidden="1" customHeight="1" outlineLevel="2" x14ac:dyDescent="0.3">
      <c r="A83" s="26"/>
      <c r="B83" s="12" t="str">
        <f>CONCATENATE("          ","6244"," - ","SAFETY SUPPLY EXPENSE")</f>
        <v xml:space="preserve">          6244 - SAFETY SUPPLY EXPENSE</v>
      </c>
      <c r="C83" s="12"/>
      <c r="D83" s="7">
        <v>511.27</v>
      </c>
      <c r="E83" s="3"/>
      <c r="F83" s="8">
        <f t="shared" si="16"/>
        <v>0</v>
      </c>
      <c r="G83" s="3"/>
      <c r="H83" s="7">
        <v>417</v>
      </c>
      <c r="I83" s="3"/>
      <c r="J83" s="8">
        <f t="shared" si="17"/>
        <v>0</v>
      </c>
      <c r="K83" s="3"/>
      <c r="L83" s="7">
        <f t="shared" si="18"/>
        <v>94.269999999999982</v>
      </c>
      <c r="M83" s="3"/>
      <c r="N83" s="8">
        <f t="shared" si="19"/>
        <v>0.22606714628297359</v>
      </c>
      <c r="O83" s="12"/>
      <c r="P83" s="7">
        <v>1161.27</v>
      </c>
      <c r="Q83" s="3"/>
      <c r="R83" s="8">
        <f t="shared" si="20"/>
        <v>0</v>
      </c>
      <c r="S83" s="3"/>
      <c r="T83" s="7">
        <v>4170</v>
      </c>
      <c r="U83" s="3"/>
      <c r="V83" s="8">
        <f t="shared" si="21"/>
        <v>0</v>
      </c>
      <c r="W83" s="3"/>
      <c r="X83" s="7">
        <f t="shared" si="22"/>
        <v>-3008.73</v>
      </c>
      <c r="Y83" s="3"/>
      <c r="Z83" s="8">
        <f t="shared" si="23"/>
        <v>-0.72151798561151081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7"/>
      <c r="E84" s="3"/>
      <c r="F84" s="8">
        <f t="shared" si="16"/>
        <v>0</v>
      </c>
      <c r="G84" s="3"/>
      <c r="H84" s="7"/>
      <c r="I84" s="3"/>
      <c r="J84" s="8">
        <f t="shared" si="17"/>
        <v>0</v>
      </c>
      <c r="K84" s="3"/>
      <c r="L84" s="7">
        <f t="shared" si="18"/>
        <v>0</v>
      </c>
      <c r="M84" s="3"/>
      <c r="N84" s="8">
        <f t="shared" si="19"/>
        <v>0</v>
      </c>
      <c r="O84" s="12"/>
      <c r="P84" s="7"/>
      <c r="Q84" s="3"/>
      <c r="R84" s="8">
        <f t="shared" si="20"/>
        <v>0</v>
      </c>
      <c r="S84" s="3"/>
      <c r="T84" s="7">
        <v>5000</v>
      </c>
      <c r="U84" s="3"/>
      <c r="V84" s="8">
        <f t="shared" si="21"/>
        <v>0</v>
      </c>
      <c r="W84" s="3"/>
      <c r="X84" s="7">
        <f t="shared" si="22"/>
        <v>-5000</v>
      </c>
      <c r="Y84" s="3"/>
      <c r="Z84" s="8">
        <f t="shared" si="23"/>
        <v>-1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7">
        <v>559.87</v>
      </c>
      <c r="E85" s="3"/>
      <c r="F85" s="8">
        <f t="shared" si="16"/>
        <v>0</v>
      </c>
      <c r="G85" s="3"/>
      <c r="H85" s="7"/>
      <c r="I85" s="3"/>
      <c r="J85" s="8">
        <f t="shared" si="17"/>
        <v>0</v>
      </c>
      <c r="K85" s="3"/>
      <c r="L85" s="7">
        <f t="shared" si="18"/>
        <v>559.87</v>
      </c>
      <c r="M85" s="3"/>
      <c r="N85" s="8">
        <f t="shared" si="19"/>
        <v>0</v>
      </c>
      <c r="O85" s="12"/>
      <c r="P85" s="7">
        <v>11846.16</v>
      </c>
      <c r="Q85" s="3"/>
      <c r="R85" s="8">
        <f t="shared" si="20"/>
        <v>0</v>
      </c>
      <c r="S85" s="3"/>
      <c r="T85" s="7"/>
      <c r="U85" s="3"/>
      <c r="V85" s="8">
        <f t="shared" si="21"/>
        <v>0</v>
      </c>
      <c r="W85" s="3"/>
      <c r="X85" s="7">
        <f t="shared" si="22"/>
        <v>11846.16</v>
      </c>
      <c r="Y85" s="3"/>
      <c r="Z85" s="8">
        <f t="shared" si="23"/>
        <v>0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SUM(OSRRefD22_17x_0)</f>
        <v>3060.84</v>
      </c>
      <c r="E86" s="2"/>
      <c r="F86" s="6">
        <f t="shared" si="16"/>
        <v>0</v>
      </c>
      <c r="G86" s="2"/>
      <c r="H86" s="2">
        <f>SUM(OSRRefH22_17x_0)</f>
        <v>1805</v>
      </c>
      <c r="I86" s="2"/>
      <c r="J86" s="6">
        <f t="shared" si="17"/>
        <v>0</v>
      </c>
      <c r="K86" s="2"/>
      <c r="L86" s="2">
        <f t="shared" si="18"/>
        <v>1255.8400000000001</v>
      </c>
      <c r="M86" s="2"/>
      <c r="N86" s="6">
        <f t="shared" si="19"/>
        <v>0.69575623268698072</v>
      </c>
      <c r="O86" s="14"/>
      <c r="P86" s="2">
        <f>SUM(OSRRefP22_17x_0)</f>
        <v>23944.720000000001</v>
      </c>
      <c r="Q86" s="2"/>
      <c r="R86" s="6">
        <f t="shared" si="20"/>
        <v>0</v>
      </c>
      <c r="S86" s="2"/>
      <c r="T86" s="2">
        <f>SUM(OSRRefT22_17x_0)</f>
        <v>18050</v>
      </c>
      <c r="U86" s="2"/>
      <c r="V86" s="6">
        <f t="shared" si="21"/>
        <v>0</v>
      </c>
      <c r="W86" s="2"/>
      <c r="X86" s="2">
        <f t="shared" si="22"/>
        <v>5894.7200000000012</v>
      </c>
      <c r="Y86" s="2"/>
      <c r="Z86" s="6">
        <f t="shared" si="23"/>
        <v>0.32657728531855962</v>
      </c>
    </row>
    <row r="87" spans="1:26" s="70" customFormat="1" ht="15" hidden="1" customHeight="1" outlineLevel="2" x14ac:dyDescent="0.3">
      <c r="A87" s="26"/>
      <c r="B87" s="12" t="str">
        <f>CONCATENATE("          ","6303"," - ","DATA PHONE LINES")</f>
        <v xml:space="preserve">          6303 - DATA PHONE LINES</v>
      </c>
      <c r="C87" s="12"/>
      <c r="D87" s="7">
        <v>265.95999999999998</v>
      </c>
      <c r="E87" s="3"/>
      <c r="F87" s="8">
        <f t="shared" si="16"/>
        <v>0</v>
      </c>
      <c r="G87" s="3"/>
      <c r="H87" s="7">
        <v>236</v>
      </c>
      <c r="I87" s="3"/>
      <c r="J87" s="8">
        <f t="shared" si="17"/>
        <v>0</v>
      </c>
      <c r="K87" s="3"/>
      <c r="L87" s="7">
        <f t="shared" si="18"/>
        <v>29.95999999999998</v>
      </c>
      <c r="M87" s="3"/>
      <c r="N87" s="8">
        <f t="shared" si="19"/>
        <v>0.1269491525423728</v>
      </c>
      <c r="O87" s="12"/>
      <c r="P87" s="7">
        <v>1690.79</v>
      </c>
      <c r="Q87" s="3"/>
      <c r="R87" s="8">
        <f t="shared" si="20"/>
        <v>0</v>
      </c>
      <c r="S87" s="3"/>
      <c r="T87" s="7">
        <v>2360</v>
      </c>
      <c r="U87" s="3"/>
      <c r="V87" s="8">
        <f t="shared" si="21"/>
        <v>0</v>
      </c>
      <c r="W87" s="3"/>
      <c r="X87" s="7">
        <f t="shared" si="22"/>
        <v>-669.21</v>
      </c>
      <c r="Y87" s="3"/>
      <c r="Z87" s="8">
        <f t="shared" si="23"/>
        <v>-0.28356355932203392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2794.88</v>
      </c>
      <c r="E88" s="3"/>
      <c r="F88" s="8">
        <f t="shared" si="16"/>
        <v>0</v>
      </c>
      <c r="G88" s="3"/>
      <c r="H88" s="7">
        <v>1569</v>
      </c>
      <c r="I88" s="3"/>
      <c r="J88" s="8">
        <f t="shared" si="17"/>
        <v>0</v>
      </c>
      <c r="K88" s="3"/>
      <c r="L88" s="7">
        <f t="shared" si="18"/>
        <v>1225.8800000000001</v>
      </c>
      <c r="M88" s="3"/>
      <c r="N88" s="8">
        <f t="shared" si="19"/>
        <v>0.78131293817718295</v>
      </c>
      <c r="O88" s="12"/>
      <c r="P88" s="7">
        <v>22253.93</v>
      </c>
      <c r="Q88" s="3"/>
      <c r="R88" s="8">
        <f t="shared" si="20"/>
        <v>0</v>
      </c>
      <c r="S88" s="3"/>
      <c r="T88" s="7">
        <v>15690</v>
      </c>
      <c r="U88" s="3"/>
      <c r="V88" s="8">
        <f t="shared" si="21"/>
        <v>0</v>
      </c>
      <c r="W88" s="3"/>
      <c r="X88" s="7">
        <f t="shared" si="22"/>
        <v>6563.93</v>
      </c>
      <c r="Y88" s="3"/>
      <c r="Z88" s="8">
        <f t="shared" si="23"/>
        <v>0.41835117909496494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SUM(OSRRefD22_18x_0)</f>
        <v>399</v>
      </c>
      <c r="E89" s="2"/>
      <c r="F89" s="6">
        <f t="shared" si="16"/>
        <v>0</v>
      </c>
      <c r="G89" s="2"/>
      <c r="H89" s="2">
        <f>SUM(OSRRefH22_18x_0)</f>
        <v>333</v>
      </c>
      <c r="I89" s="2"/>
      <c r="J89" s="6">
        <f t="shared" si="17"/>
        <v>0</v>
      </c>
      <c r="K89" s="2"/>
      <c r="L89" s="2">
        <f t="shared" si="18"/>
        <v>66</v>
      </c>
      <c r="M89" s="2"/>
      <c r="N89" s="6">
        <f t="shared" si="19"/>
        <v>0.1981981981981982</v>
      </c>
      <c r="O89" s="14"/>
      <c r="P89" s="2">
        <f>SUM(OSRRefP22_18x_0)</f>
        <v>1568</v>
      </c>
      <c r="Q89" s="2"/>
      <c r="R89" s="6">
        <f t="shared" si="20"/>
        <v>0</v>
      </c>
      <c r="S89" s="2"/>
      <c r="T89" s="2">
        <f>SUM(OSRRefT22_18x_0)</f>
        <v>11380</v>
      </c>
      <c r="U89" s="2"/>
      <c r="V89" s="6">
        <f t="shared" si="21"/>
        <v>0</v>
      </c>
      <c r="W89" s="2"/>
      <c r="X89" s="2">
        <f t="shared" si="22"/>
        <v>-9812</v>
      </c>
      <c r="Y89" s="2"/>
      <c r="Z89" s="6">
        <f t="shared" si="23"/>
        <v>-0.86221441124780318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>
        <v>399</v>
      </c>
      <c r="E90" s="3"/>
      <c r="F90" s="8">
        <f t="shared" si="16"/>
        <v>0</v>
      </c>
      <c r="G90" s="3"/>
      <c r="H90" s="7">
        <v>333</v>
      </c>
      <c r="I90" s="3"/>
      <c r="J90" s="8">
        <f t="shared" si="17"/>
        <v>0</v>
      </c>
      <c r="K90" s="3"/>
      <c r="L90" s="7">
        <f t="shared" si="18"/>
        <v>66</v>
      </c>
      <c r="M90" s="3"/>
      <c r="N90" s="8">
        <f t="shared" si="19"/>
        <v>0.1981981981981982</v>
      </c>
      <c r="O90" s="12"/>
      <c r="P90" s="7">
        <v>1568</v>
      </c>
      <c r="Q90" s="3"/>
      <c r="R90" s="8">
        <f t="shared" si="20"/>
        <v>0</v>
      </c>
      <c r="S90" s="3"/>
      <c r="T90" s="7">
        <v>11380</v>
      </c>
      <c r="U90" s="3"/>
      <c r="V90" s="8">
        <f t="shared" si="21"/>
        <v>0</v>
      </c>
      <c r="W90" s="3"/>
      <c r="X90" s="7">
        <f t="shared" si="22"/>
        <v>-9812</v>
      </c>
      <c r="Y90" s="3"/>
      <c r="Z90" s="8">
        <f t="shared" si="23"/>
        <v>-0.86221441124780318</v>
      </c>
    </row>
    <row r="91" spans="1:26" s="69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SUM(OSRRefD22_19x_0)</f>
        <v>0</v>
      </c>
      <c r="E91" s="2"/>
      <c r="F91" s="6">
        <f t="shared" si="16"/>
        <v>0</v>
      </c>
      <c r="G91" s="2"/>
      <c r="H91" s="2">
        <f>SUM(OSRRefH22_19x_0)</f>
        <v>0</v>
      </c>
      <c r="I91" s="2"/>
      <c r="J91" s="6">
        <f t="shared" si="17"/>
        <v>0</v>
      </c>
      <c r="K91" s="2"/>
      <c r="L91" s="2">
        <f t="shared" si="18"/>
        <v>0</v>
      </c>
      <c r="M91" s="2"/>
      <c r="N91" s="6">
        <f t="shared" si="19"/>
        <v>0</v>
      </c>
      <c r="O91" s="14"/>
      <c r="P91" s="2">
        <f>SUM(OSRRefP22_19x_0)</f>
        <v>30.4</v>
      </c>
      <c r="Q91" s="2"/>
      <c r="R91" s="6">
        <f t="shared" si="20"/>
        <v>0</v>
      </c>
      <c r="S91" s="2"/>
      <c r="T91" s="2">
        <f>SUM(OSRRefT22_19x_0)</f>
        <v>7720</v>
      </c>
      <c r="U91" s="2"/>
      <c r="V91" s="6">
        <f t="shared" si="21"/>
        <v>0</v>
      </c>
      <c r="W91" s="2"/>
      <c r="X91" s="2">
        <f t="shared" si="22"/>
        <v>-7689.6</v>
      </c>
      <c r="Y91" s="2"/>
      <c r="Z91" s="6">
        <f t="shared" si="23"/>
        <v>-0.99606217616580317</v>
      </c>
    </row>
    <row r="92" spans="1:26" s="70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7"/>
      <c r="E92" s="3"/>
      <c r="F92" s="8">
        <f t="shared" si="16"/>
        <v>0</v>
      </c>
      <c r="G92" s="3"/>
      <c r="H92" s="7"/>
      <c r="I92" s="3"/>
      <c r="J92" s="8">
        <f t="shared" si="17"/>
        <v>0</v>
      </c>
      <c r="K92" s="3"/>
      <c r="L92" s="7">
        <f t="shared" si="18"/>
        <v>0</v>
      </c>
      <c r="M92" s="3"/>
      <c r="N92" s="8">
        <f t="shared" si="19"/>
        <v>0</v>
      </c>
      <c r="O92" s="12"/>
      <c r="P92" s="7">
        <v>0</v>
      </c>
      <c r="Q92" s="3"/>
      <c r="R92" s="8">
        <f t="shared" si="20"/>
        <v>0</v>
      </c>
      <c r="S92" s="3"/>
      <c r="T92" s="7">
        <v>6220</v>
      </c>
      <c r="U92" s="3"/>
      <c r="V92" s="8">
        <f t="shared" si="21"/>
        <v>0</v>
      </c>
      <c r="W92" s="3"/>
      <c r="X92" s="7">
        <f t="shared" si="22"/>
        <v>-6220</v>
      </c>
      <c r="Y92" s="3"/>
      <c r="Z92" s="8">
        <f t="shared" si="23"/>
        <v>-1</v>
      </c>
    </row>
    <row r="93" spans="1:26" s="70" customFormat="1" ht="15" hidden="1" customHeight="1" outlineLevel="2" x14ac:dyDescent="0.3">
      <c r="A93" s="26"/>
      <c r="B93" s="12" t="str">
        <f>CONCATENATE("          ","6294"," - ","TRAVEL OPERATIONAL")</f>
        <v xml:space="preserve">          6294 - TRAVEL OPERATIONAL</v>
      </c>
      <c r="C93" s="12"/>
      <c r="D93" s="7"/>
      <c r="E93" s="3"/>
      <c r="F93" s="8">
        <f t="shared" si="16"/>
        <v>0</v>
      </c>
      <c r="G93" s="3"/>
      <c r="H93" s="7"/>
      <c r="I93" s="3"/>
      <c r="J93" s="8">
        <f t="shared" si="17"/>
        <v>0</v>
      </c>
      <c r="K93" s="3"/>
      <c r="L93" s="7">
        <f t="shared" si="18"/>
        <v>0</v>
      </c>
      <c r="M93" s="3"/>
      <c r="N93" s="8">
        <f t="shared" si="19"/>
        <v>0</v>
      </c>
      <c r="O93" s="12"/>
      <c r="P93" s="7">
        <v>30.4</v>
      </c>
      <c r="Q93" s="3"/>
      <c r="R93" s="8">
        <f t="shared" si="20"/>
        <v>0</v>
      </c>
      <c r="S93" s="3"/>
      <c r="T93" s="7">
        <v>1500</v>
      </c>
      <c r="U93" s="3"/>
      <c r="V93" s="8">
        <f t="shared" si="21"/>
        <v>0</v>
      </c>
      <c r="W93" s="3"/>
      <c r="X93" s="7">
        <f t="shared" si="22"/>
        <v>-1469.6</v>
      </c>
      <c r="Y93" s="3"/>
      <c r="Z93" s="8">
        <f t="shared" si="23"/>
        <v>-0.97973333333333323</v>
      </c>
    </row>
    <row r="94" spans="1:26" s="65" customFormat="1" ht="15" customHeight="1" x14ac:dyDescent="0.3">
      <c r="A94" s="35"/>
      <c r="B94" s="35"/>
      <c r="C94" s="35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5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3" customFormat="1" ht="15" customHeight="1" x14ac:dyDescent="0.3">
      <c r="A95" s="11"/>
      <c r="B95" s="28" t="s">
        <v>291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292</v>
      </c>
      <c r="C97" s="27"/>
      <c r="D97" s="21">
        <f>+D16-D18+D95</f>
        <v>-266682.48</v>
      </c>
      <c r="E97" s="15"/>
      <c r="F97" s="23">
        <f>IF(D$12=0,0,D97/D$12)</f>
        <v>0</v>
      </c>
      <c r="G97" s="15"/>
      <c r="H97" s="21">
        <f>+H16-H18+H95</f>
        <v>-289108.58269980003</v>
      </c>
      <c r="I97" s="15"/>
      <c r="J97" s="23">
        <f>IF(H$12=0,0,H97/H$12)</f>
        <v>0</v>
      </c>
      <c r="K97" s="17"/>
      <c r="L97" s="21">
        <f>+D97-H97</f>
        <v>22426.102699800045</v>
      </c>
      <c r="M97" s="17"/>
      <c r="N97" s="23">
        <f>IF(H97=0,0,L97/H97)</f>
        <v>-7.7569826846290851E-2</v>
      </c>
      <c r="O97" s="28"/>
      <c r="P97" s="21">
        <f>+P16-P18+P95</f>
        <v>-2476359.6200000006</v>
      </c>
      <c r="Q97" s="15"/>
      <c r="R97" s="23">
        <f>IF(P$12=0,0,P97/P$12)</f>
        <v>0</v>
      </c>
      <c r="S97" s="15"/>
      <c r="T97" s="21">
        <f>+T16-T18+T95</f>
        <v>-2625710.9463067013</v>
      </c>
      <c r="U97" s="15"/>
      <c r="V97" s="23">
        <f>IF(T$12=0,0,T97/T$12)</f>
        <v>0</v>
      </c>
      <c r="W97" s="17"/>
      <c r="X97" s="21">
        <f>+P97-T97</f>
        <v>149351.32630670071</v>
      </c>
      <c r="Y97" s="17"/>
      <c r="Z97" s="23">
        <f>IF(T97=0,0,X97/T97)</f>
        <v>-5.6880338072542516E-2</v>
      </c>
    </row>
    <row r="98" spans="1:26" ht="15" customHeight="1" x14ac:dyDescent="0.3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49"/>
      <c r="B99" s="11" t="s">
        <v>293</v>
      </c>
      <c r="C99" s="11"/>
      <c r="D99" s="5"/>
      <c r="E99" s="5"/>
      <c r="F99" s="13">
        <f>IF(D$12=0,0,D99/D$12)</f>
        <v>0</v>
      </c>
      <c r="G99" s="5"/>
      <c r="H99" s="5"/>
      <c r="I99" s="5"/>
      <c r="J99" s="13">
        <f>IF(H$12=0,0,H99/H$12)</f>
        <v>0</v>
      </c>
      <c r="K99" s="5"/>
      <c r="L99" s="5">
        <f>+D99-H99</f>
        <v>0</v>
      </c>
      <c r="M99" s="5"/>
      <c r="N99" s="13">
        <f>IF(H99=0,0,L99/H99)</f>
        <v>0</v>
      </c>
      <c r="O99" s="11"/>
      <c r="P99" s="5"/>
      <c r="Q99" s="5"/>
      <c r="R99" s="13">
        <f>IF(P$12=0,0,P99/P$12)</f>
        <v>0</v>
      </c>
      <c r="S99" s="5"/>
      <c r="T99" s="5"/>
      <c r="U99" s="5"/>
      <c r="V99" s="13">
        <f>IF(T$12=0,0,T99/T$12)</f>
        <v>0</v>
      </c>
      <c r="W99" s="5"/>
      <c r="X99" s="5">
        <f>+P99-T99</f>
        <v>0</v>
      </c>
      <c r="Y99" s="5"/>
      <c r="Z99" s="13">
        <f>IF(T99=0,0,X99/T99)</f>
        <v>0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294</v>
      </c>
      <c r="C101" s="27"/>
      <c r="D101" s="29">
        <f>+D97-D99</f>
        <v>-266682.48</v>
      </c>
      <c r="E101" s="15"/>
      <c r="F101" s="30">
        <f>IF(D$12=0,0,D101/D$12)</f>
        <v>0</v>
      </c>
      <c r="G101" s="15"/>
      <c r="H101" s="29">
        <f>+H97-H99</f>
        <v>-289108.58269980003</v>
      </c>
      <c r="I101" s="15"/>
      <c r="J101" s="30">
        <f>IF(H$12=0,0,H101/H$12)</f>
        <v>0</v>
      </c>
      <c r="K101" s="17"/>
      <c r="L101" s="29">
        <f>D101-H101</f>
        <v>22426.102699800045</v>
      </c>
      <c r="M101" s="17"/>
      <c r="N101" s="30">
        <f>IF(H101=0,0,L101/H101)</f>
        <v>-7.7569826846290851E-2</v>
      </c>
      <c r="O101" s="28"/>
      <c r="P101" s="29">
        <f>+P97-P99</f>
        <v>-2476359.6200000006</v>
      </c>
      <c r="Q101" s="15"/>
      <c r="R101" s="30">
        <f>IF(P$12=0,0,P101/P$12)</f>
        <v>0</v>
      </c>
      <c r="S101" s="15"/>
      <c r="T101" s="29">
        <f>+T97-T99</f>
        <v>-2625710.9463067013</v>
      </c>
      <c r="U101" s="15"/>
      <c r="V101" s="30">
        <f>IF(T$12=0,0,T101/T$12)</f>
        <v>0</v>
      </c>
      <c r="W101" s="17"/>
      <c r="X101" s="29">
        <f>P101-T101</f>
        <v>149351.32630670071</v>
      </c>
      <c r="Y101" s="17"/>
      <c r="Z101" s="30">
        <f>IF(T101=0,0,X101/T101)</f>
        <v>-5.6880338072542516E-2</v>
      </c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3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7" t="s">
        <v>297</v>
      </c>
      <c r="C104" s="27"/>
      <c r="D104" s="32">
        <f>SUM(D101:D103)</f>
        <v>-266682.48</v>
      </c>
      <c r="E104" s="15"/>
      <c r="F104" s="34">
        <f>IF(D$12=0,0,D104/D$12)</f>
        <v>0</v>
      </c>
      <c r="G104" s="15"/>
      <c r="H104" s="32">
        <f>SUM(H101:H103)</f>
        <v>-289108.58269980003</v>
      </c>
      <c r="I104" s="15"/>
      <c r="J104" s="34">
        <f>IF(H$12=0,0,H104/H$12)</f>
        <v>0</v>
      </c>
      <c r="K104" s="17"/>
      <c r="L104" s="32">
        <f>+D104-H104</f>
        <v>22426.102699800045</v>
      </c>
      <c r="M104" s="17"/>
      <c r="N104" s="34">
        <f>IF(H104=0,0,L104/H104)</f>
        <v>-7.7569826846290851E-2</v>
      </c>
      <c r="O104" s="28"/>
      <c r="P104" s="32">
        <f>SUM(P101:P103)</f>
        <v>-2476359.6200000006</v>
      </c>
      <c r="Q104" s="15"/>
      <c r="R104" s="34">
        <f>IF(P$12=0,0,P104/P$12)</f>
        <v>0</v>
      </c>
      <c r="S104" s="15"/>
      <c r="T104" s="32">
        <f>SUM(T101:T103)</f>
        <v>-2625710.9463067013</v>
      </c>
      <c r="U104" s="15"/>
      <c r="V104" s="34">
        <f>IF(T$12=0,0,T104/T$12)</f>
        <v>0</v>
      </c>
      <c r="W104" s="17"/>
      <c r="X104" s="32">
        <f>+P104-T104</f>
        <v>149351.32630670071</v>
      </c>
      <c r="Y104" s="17"/>
      <c r="Z104" s="34">
        <f>IF(T104=0,0,X104/T104)</f>
        <v>-5.6880338072542516E-2</v>
      </c>
    </row>
    <row r="105" spans="1:26" ht="15" customHeight="1" x14ac:dyDescent="0.3">
      <c r="A105" s="10"/>
      <c r="C105" s="10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6">
        <v>44694.888519594904</v>
      </c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A107" s="10"/>
      <c r="B107" s="50" t="s">
        <v>298</v>
      </c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A108" s="10"/>
      <c r="B108" s="51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9A0EB-46EB-B537-EC3B-4571CB3C4345}">
  <sheetPr>
    <tabColor rgb="FF92D050"/>
    <outlinePr summaryBelow="0" summaryRight="0"/>
  </sheetPr>
  <dimension ref="A2:Z4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","200"," - ","Corporate Expense")</f>
        <v>Department 200 - Corporate Expense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42684.619999999995</v>
      </c>
      <c r="E18" s="22"/>
      <c r="F18" s="33">
        <f t="shared" ref="F18:F27" si="0">IF(D$12=0,0,D18/D$12)</f>
        <v>0</v>
      </c>
      <c r="G18" s="22"/>
      <c r="H18" s="22" cm="1">
        <f t="array" ref="H18">SUM(OSRRefH22x_0)</f>
        <v>60508</v>
      </c>
      <c r="I18" s="22"/>
      <c r="J18" s="33">
        <f t="shared" ref="J18:J27" si="1">IF(H$12=0,0,H18/H$12)</f>
        <v>0</v>
      </c>
      <c r="K18" s="5"/>
      <c r="L18" s="22">
        <f t="shared" ref="L18:L27" si="2">+D18-H18</f>
        <v>-17823.380000000005</v>
      </c>
      <c r="M18" s="5"/>
      <c r="N18" s="33">
        <f t="shared" ref="N18:N27" si="3">IF(H18=0,0,L18/H18)</f>
        <v>-0.29456237191776302</v>
      </c>
      <c r="O18" s="11"/>
      <c r="P18" s="22" cm="1">
        <f t="array" ref="P18">SUM(OSRRefP22x_0)</f>
        <v>343191.61</v>
      </c>
      <c r="Q18" s="22"/>
      <c r="R18" s="33">
        <f t="shared" ref="R18:R27" si="4">IF(P$12=0,0,P18/P$12)</f>
        <v>0</v>
      </c>
      <c r="S18" s="22"/>
      <c r="T18" s="22" cm="1">
        <f t="array" ref="T18">SUM(OSRRefT22x_0)</f>
        <v>479580</v>
      </c>
      <c r="U18" s="22"/>
      <c r="V18" s="33">
        <f t="shared" ref="V18:V27" si="5">IF(T$12=0,0,T18/T$12)</f>
        <v>0</v>
      </c>
      <c r="W18" s="5"/>
      <c r="X18" s="22">
        <f t="shared" ref="X18:X27" si="6">+P18-T18</f>
        <v>-136388.39000000001</v>
      </c>
      <c r="Y18" s="5"/>
      <c r="Z18" s="33">
        <f t="shared" ref="Z18:Z27" si="7">IF(T18=0,0,X18/T18)</f>
        <v>-0.28439132157304309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25279.919999999998</v>
      </c>
      <c r="E19" s="2"/>
      <c r="F19" s="6">
        <f t="shared" si="0"/>
        <v>0</v>
      </c>
      <c r="G19" s="2"/>
      <c r="H19" s="2">
        <f>SUM(OSRRefH22_0x_0)</f>
        <v>35000</v>
      </c>
      <c r="I19" s="2"/>
      <c r="J19" s="6">
        <f t="shared" si="1"/>
        <v>0</v>
      </c>
      <c r="K19" s="2"/>
      <c r="L19" s="2">
        <f t="shared" si="2"/>
        <v>-9720.0800000000017</v>
      </c>
      <c r="M19" s="2"/>
      <c r="N19" s="6">
        <f t="shared" si="3"/>
        <v>-0.27771657142857148</v>
      </c>
      <c r="O19" s="14"/>
      <c r="P19" s="2">
        <f>SUM(OSRRefP22_0x_0)</f>
        <v>270471.86</v>
      </c>
      <c r="Q19" s="2"/>
      <c r="R19" s="6">
        <f t="shared" si="4"/>
        <v>0</v>
      </c>
      <c r="S19" s="2"/>
      <c r="T19" s="2">
        <f>SUM(OSRRefT22_0x_0)</f>
        <v>350000</v>
      </c>
      <c r="U19" s="2"/>
      <c r="V19" s="6">
        <f t="shared" si="5"/>
        <v>0</v>
      </c>
      <c r="W19" s="2"/>
      <c r="X19" s="2">
        <f t="shared" si="6"/>
        <v>-79528.140000000014</v>
      </c>
      <c r="Y19" s="2"/>
      <c r="Z19" s="6">
        <f t="shared" si="7"/>
        <v>-0.22722325714285718</v>
      </c>
    </row>
    <row r="20" spans="1:26" s="70" customFormat="1" ht="15" hidden="1" customHeight="1" outlineLevel="2" x14ac:dyDescent="0.3">
      <c r="A20" s="26"/>
      <c r="B20" s="12" t="str">
        <f>CONCATENATE("          ","6120"," - ","RETIREES HEALTH INSURANCE")</f>
        <v xml:space="preserve">          6120 - RETIREES HEALTH INSURANCE</v>
      </c>
      <c r="C20" s="12"/>
      <c r="D20" s="7">
        <v>25279.919999999998</v>
      </c>
      <c r="E20" s="3"/>
      <c r="F20" s="8">
        <f t="shared" si="0"/>
        <v>0</v>
      </c>
      <c r="G20" s="3"/>
      <c r="H20" s="7">
        <v>35000</v>
      </c>
      <c r="I20" s="3"/>
      <c r="J20" s="8">
        <f t="shared" si="1"/>
        <v>0</v>
      </c>
      <c r="K20" s="3"/>
      <c r="L20" s="7">
        <f t="shared" si="2"/>
        <v>-9720.0800000000017</v>
      </c>
      <c r="M20" s="3"/>
      <c r="N20" s="8">
        <f t="shared" si="3"/>
        <v>-0.27771657142857148</v>
      </c>
      <c r="O20" s="12"/>
      <c r="P20" s="7">
        <v>270471.86</v>
      </c>
      <c r="Q20" s="3"/>
      <c r="R20" s="8">
        <f t="shared" si="4"/>
        <v>0</v>
      </c>
      <c r="S20" s="3"/>
      <c r="T20" s="7">
        <v>350000</v>
      </c>
      <c r="U20" s="3"/>
      <c r="V20" s="8">
        <f t="shared" si="5"/>
        <v>0</v>
      </c>
      <c r="W20" s="3"/>
      <c r="X20" s="7">
        <f t="shared" si="6"/>
        <v>-79528.140000000014</v>
      </c>
      <c r="Y20" s="3"/>
      <c r="Z20" s="8">
        <f t="shared" si="7"/>
        <v>-0.22722325714285718</v>
      </c>
    </row>
    <row r="21" spans="1:26" s="69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3089.33</v>
      </c>
      <c r="E21" s="2"/>
      <c r="F21" s="6">
        <f t="shared" si="0"/>
        <v>0</v>
      </c>
      <c r="G21" s="2"/>
      <c r="H21" s="2">
        <f>SUM(OSRRefH22_1x_0)</f>
        <v>10000</v>
      </c>
      <c r="I21" s="2"/>
      <c r="J21" s="6">
        <f t="shared" si="1"/>
        <v>0</v>
      </c>
      <c r="K21" s="2"/>
      <c r="L21" s="2">
        <f t="shared" si="2"/>
        <v>-6910.67</v>
      </c>
      <c r="M21" s="2"/>
      <c r="N21" s="6">
        <f t="shared" si="3"/>
        <v>-0.69106699999999999</v>
      </c>
      <c r="O21" s="14"/>
      <c r="P21" s="2">
        <f>SUM(OSRRefP22_1x_0)</f>
        <v>12898.11</v>
      </c>
      <c r="Q21" s="2"/>
      <c r="R21" s="6">
        <f t="shared" si="4"/>
        <v>0</v>
      </c>
      <c r="S21" s="2"/>
      <c r="T21" s="2">
        <f>SUM(OSRRefT22_1x_0)</f>
        <v>41000</v>
      </c>
      <c r="U21" s="2"/>
      <c r="V21" s="6">
        <f t="shared" si="5"/>
        <v>0</v>
      </c>
      <c r="W21" s="2"/>
      <c r="X21" s="2">
        <f t="shared" si="6"/>
        <v>-28101.89</v>
      </c>
      <c r="Y21" s="2"/>
      <c r="Z21" s="6">
        <f t="shared" si="7"/>
        <v>-0.68541195121951215</v>
      </c>
    </row>
    <row r="22" spans="1:26" s="70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7">
        <v>3089.33</v>
      </c>
      <c r="E22" s="3"/>
      <c r="F22" s="8">
        <f t="shared" si="0"/>
        <v>0</v>
      </c>
      <c r="G22" s="3"/>
      <c r="H22" s="7">
        <v>10000</v>
      </c>
      <c r="I22" s="3"/>
      <c r="J22" s="8">
        <f t="shared" si="1"/>
        <v>0</v>
      </c>
      <c r="K22" s="3"/>
      <c r="L22" s="7">
        <f t="shared" si="2"/>
        <v>-6910.67</v>
      </c>
      <c r="M22" s="3"/>
      <c r="N22" s="8">
        <f t="shared" si="3"/>
        <v>-0.69106699999999999</v>
      </c>
      <c r="O22" s="12"/>
      <c r="P22" s="7">
        <v>12898.11</v>
      </c>
      <c r="Q22" s="3"/>
      <c r="R22" s="8">
        <f t="shared" si="4"/>
        <v>0</v>
      </c>
      <c r="S22" s="3"/>
      <c r="T22" s="7">
        <v>41000</v>
      </c>
      <c r="U22" s="3"/>
      <c r="V22" s="8">
        <f t="shared" si="5"/>
        <v>0</v>
      </c>
      <c r="W22" s="3"/>
      <c r="X22" s="7">
        <f t="shared" si="6"/>
        <v>-28101.89</v>
      </c>
      <c r="Y22" s="3"/>
      <c r="Z22" s="8">
        <f t="shared" si="7"/>
        <v>-0.68541195121951215</v>
      </c>
    </row>
    <row r="23" spans="1:26" s="69" customFormat="1" ht="15" customHeight="1" outlineLevel="1" collapsed="1" x14ac:dyDescent="0.3">
      <c r="A23" s="25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3977.62</v>
      </c>
      <c r="E23" s="2"/>
      <c r="F23" s="6">
        <f t="shared" si="0"/>
        <v>0</v>
      </c>
      <c r="G23" s="2"/>
      <c r="H23" s="2">
        <f>SUM(OSRRefH22_2x_0)</f>
        <v>2508</v>
      </c>
      <c r="I23" s="2"/>
      <c r="J23" s="6">
        <f t="shared" si="1"/>
        <v>0</v>
      </c>
      <c r="K23" s="2"/>
      <c r="L23" s="2">
        <f t="shared" si="2"/>
        <v>1469.62</v>
      </c>
      <c r="M23" s="2"/>
      <c r="N23" s="6">
        <f t="shared" si="3"/>
        <v>0.58597288676236037</v>
      </c>
      <c r="O23" s="14"/>
      <c r="P23" s="2">
        <f>SUM(OSRRefP22_2x_0)</f>
        <v>18320.64</v>
      </c>
      <c r="Q23" s="2"/>
      <c r="R23" s="6">
        <f t="shared" si="4"/>
        <v>0</v>
      </c>
      <c r="S23" s="2"/>
      <c r="T23" s="2">
        <f>SUM(OSRRefT22_2x_0)</f>
        <v>17580</v>
      </c>
      <c r="U23" s="2"/>
      <c r="V23" s="6">
        <f t="shared" si="5"/>
        <v>0</v>
      </c>
      <c r="W23" s="2"/>
      <c r="X23" s="2">
        <f t="shared" si="6"/>
        <v>740.63999999999942</v>
      </c>
      <c r="Y23" s="2"/>
      <c r="Z23" s="6">
        <f t="shared" si="7"/>
        <v>4.2129692832764472E-2</v>
      </c>
    </row>
    <row r="24" spans="1:26" s="70" customFormat="1" ht="15" hidden="1" customHeight="1" outlineLevel="2" x14ac:dyDescent="0.3">
      <c r="A24" s="26"/>
      <c r="B24" s="12" t="str">
        <f>CONCATENATE("          ","6397"," - ","BOARD EXPENSES")</f>
        <v xml:space="preserve">          6397 - BOARD EXPENSES</v>
      </c>
      <c r="C24" s="12"/>
      <c r="D24" s="7">
        <v>3977.62</v>
      </c>
      <c r="E24" s="3"/>
      <c r="F24" s="8">
        <f t="shared" si="0"/>
        <v>0</v>
      </c>
      <c r="G24" s="3"/>
      <c r="H24" s="7">
        <v>2508</v>
      </c>
      <c r="I24" s="3"/>
      <c r="J24" s="8">
        <f t="shared" si="1"/>
        <v>0</v>
      </c>
      <c r="K24" s="3"/>
      <c r="L24" s="7">
        <f t="shared" si="2"/>
        <v>1469.62</v>
      </c>
      <c r="M24" s="3"/>
      <c r="N24" s="8">
        <f t="shared" si="3"/>
        <v>0.58597288676236037</v>
      </c>
      <c r="O24" s="12"/>
      <c r="P24" s="7">
        <v>18320.64</v>
      </c>
      <c r="Q24" s="3"/>
      <c r="R24" s="8">
        <f t="shared" si="4"/>
        <v>0</v>
      </c>
      <c r="S24" s="3"/>
      <c r="T24" s="7">
        <v>17580</v>
      </c>
      <c r="U24" s="3"/>
      <c r="V24" s="8">
        <f t="shared" si="5"/>
        <v>0</v>
      </c>
      <c r="W24" s="3"/>
      <c r="X24" s="7">
        <f t="shared" si="6"/>
        <v>740.63999999999942</v>
      </c>
      <c r="Y24" s="3"/>
      <c r="Z24" s="8">
        <f t="shared" si="7"/>
        <v>4.2129692832764472E-2</v>
      </c>
    </row>
    <row r="25" spans="1:26" s="69" customFormat="1" ht="15" customHeight="1" outlineLevel="1" collapsed="1" x14ac:dyDescent="0.3">
      <c r="A25" s="25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10337.75</v>
      </c>
      <c r="E25" s="2"/>
      <c r="F25" s="6">
        <f t="shared" si="0"/>
        <v>0</v>
      </c>
      <c r="G25" s="2"/>
      <c r="H25" s="2">
        <f>SUM(OSRRefH22_3x_0)</f>
        <v>13000</v>
      </c>
      <c r="I25" s="2"/>
      <c r="J25" s="6">
        <f t="shared" si="1"/>
        <v>0</v>
      </c>
      <c r="K25" s="2"/>
      <c r="L25" s="2">
        <f t="shared" si="2"/>
        <v>-2662.25</v>
      </c>
      <c r="M25" s="2"/>
      <c r="N25" s="6">
        <f t="shared" si="3"/>
        <v>-0.20478846153846153</v>
      </c>
      <c r="O25" s="14"/>
      <c r="P25" s="2">
        <f>SUM(OSRRefP22_3x_0)</f>
        <v>41501</v>
      </c>
      <c r="Q25" s="2"/>
      <c r="R25" s="6">
        <f t="shared" si="4"/>
        <v>0</v>
      </c>
      <c r="S25" s="2"/>
      <c r="T25" s="2">
        <f>SUM(OSRRefT22_3x_0)</f>
        <v>71000</v>
      </c>
      <c r="U25" s="2"/>
      <c r="V25" s="6">
        <f t="shared" si="5"/>
        <v>0</v>
      </c>
      <c r="W25" s="2"/>
      <c r="X25" s="2">
        <f t="shared" si="6"/>
        <v>-29499</v>
      </c>
      <c r="Y25" s="2"/>
      <c r="Z25" s="6">
        <f t="shared" si="7"/>
        <v>-0.41547887323943661</v>
      </c>
    </row>
    <row r="26" spans="1:26" s="70" customFormat="1" ht="15" hidden="1" customHeight="1" outlineLevel="2" x14ac:dyDescent="0.3">
      <c r="A26" s="26"/>
      <c r="B26" s="12" t="str">
        <f>CONCATENATE("          ","6331"," - ","INDIRECT COSTS-AUXILIARY ORGAN")</f>
        <v xml:space="preserve">          6331 - INDIRECT COSTS-AUXILIARY ORGAN</v>
      </c>
      <c r="C26" s="12"/>
      <c r="D26" s="7">
        <v>10337.75</v>
      </c>
      <c r="E26" s="3"/>
      <c r="F26" s="8">
        <f t="shared" si="0"/>
        <v>0</v>
      </c>
      <c r="G26" s="3"/>
      <c r="H26" s="7">
        <v>13000</v>
      </c>
      <c r="I26" s="3"/>
      <c r="J26" s="8">
        <f t="shared" si="1"/>
        <v>0</v>
      </c>
      <c r="K26" s="3"/>
      <c r="L26" s="7">
        <f t="shared" si="2"/>
        <v>-2662.25</v>
      </c>
      <c r="M26" s="3"/>
      <c r="N26" s="8">
        <f t="shared" si="3"/>
        <v>-0.20478846153846153</v>
      </c>
      <c r="O26" s="12"/>
      <c r="P26" s="7">
        <v>41501</v>
      </c>
      <c r="Q26" s="3"/>
      <c r="R26" s="8">
        <f t="shared" si="4"/>
        <v>0</v>
      </c>
      <c r="S26" s="3"/>
      <c r="T26" s="7">
        <v>52000</v>
      </c>
      <c r="U26" s="3"/>
      <c r="V26" s="8">
        <f t="shared" si="5"/>
        <v>0</v>
      </c>
      <c r="W26" s="3"/>
      <c r="X26" s="7">
        <f t="shared" si="6"/>
        <v>-10499</v>
      </c>
      <c r="Y26" s="3"/>
      <c r="Z26" s="8">
        <f t="shared" si="7"/>
        <v>-0.20190384615384616</v>
      </c>
    </row>
    <row r="27" spans="1:26" s="70" customFormat="1" ht="15" hidden="1" customHeight="1" outlineLevel="2" x14ac:dyDescent="0.3">
      <c r="A27" s="26"/>
      <c r="B27" s="12" t="str">
        <f>CONCATENATE("          ","6332"," - ","CONSULTANT FEES")</f>
        <v xml:space="preserve">          6332 - CONSULTANT FEES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19000</v>
      </c>
      <c r="U27" s="3"/>
      <c r="V27" s="8">
        <f t="shared" si="5"/>
        <v>0</v>
      </c>
      <c r="W27" s="3"/>
      <c r="X27" s="7">
        <f t="shared" si="6"/>
        <v>-19000</v>
      </c>
      <c r="Y27" s="3"/>
      <c r="Z27" s="8">
        <f t="shared" si="7"/>
        <v>-1</v>
      </c>
    </row>
    <row r="28" spans="1:26" s="65" customFormat="1" ht="15" customHeight="1" x14ac:dyDescent="0.3">
      <c r="A28" s="35"/>
      <c r="B28" s="35"/>
      <c r="C28" s="35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3">
      <c r="A29" s="11"/>
      <c r="B29" s="28" t="s">
        <v>291</v>
      </c>
      <c r="C29" s="11"/>
      <c r="D29" s="5">
        <f>SUM(0)</f>
        <v>0</v>
      </c>
      <c r="E29" s="5"/>
      <c r="F29" s="13">
        <f>IF(D$12=0,0,D29/D$12)</f>
        <v>0</v>
      </c>
      <c r="G29" s="5"/>
      <c r="H29" s="5">
        <f>SUM(0)</f>
        <v>0</v>
      </c>
      <c r="I29" s="5"/>
      <c r="J29" s="13">
        <f>IF(H$12=0,0,H29/H$12)</f>
        <v>0</v>
      </c>
      <c r="K29" s="5"/>
      <c r="L29" s="5">
        <f>+D29-H29</f>
        <v>0</v>
      </c>
      <c r="M29" s="5"/>
      <c r="N29" s="13">
        <f>IF(H29=0,0,L29/H29)</f>
        <v>0</v>
      </c>
      <c r="O29" s="11"/>
      <c r="P29" s="5">
        <f>SUM(0)</f>
        <v>0</v>
      </c>
      <c r="Q29" s="5"/>
      <c r="R29" s="13">
        <f>IF(P$12=0,0,P29/P$12)</f>
        <v>0</v>
      </c>
      <c r="S29" s="5"/>
      <c r="T29" s="5">
        <f>SUM(0)</f>
        <v>0</v>
      </c>
      <c r="U29" s="5"/>
      <c r="V29" s="13">
        <f>IF(T$12=0,0,T29/T$12)</f>
        <v>0</v>
      </c>
      <c r="W29" s="5"/>
      <c r="X29" s="5">
        <f>+P29-T29</f>
        <v>0</v>
      </c>
      <c r="Y29" s="5"/>
      <c r="Z29" s="13">
        <f>IF(T29=0,0,X29/T29)</f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292</v>
      </c>
      <c r="C31" s="27"/>
      <c r="D31" s="21">
        <f>+D16-D18+D29</f>
        <v>-42684.619999999995</v>
      </c>
      <c r="E31" s="15"/>
      <c r="F31" s="23">
        <f>IF(D$12=0,0,D31/D$12)</f>
        <v>0</v>
      </c>
      <c r="G31" s="15"/>
      <c r="H31" s="21">
        <f>+H16-H18+H29</f>
        <v>-60508</v>
      </c>
      <c r="I31" s="15"/>
      <c r="J31" s="23">
        <f>IF(H$12=0,0,H31/H$12)</f>
        <v>0</v>
      </c>
      <c r="K31" s="17"/>
      <c r="L31" s="21">
        <f>+D31-H31</f>
        <v>17823.380000000005</v>
      </c>
      <c r="M31" s="17"/>
      <c r="N31" s="23">
        <f>IF(H31=0,0,L31/H31)</f>
        <v>-0.29456237191776302</v>
      </c>
      <c r="O31" s="28"/>
      <c r="P31" s="21">
        <f>+P16-P18+P29</f>
        <v>-343191.61</v>
      </c>
      <c r="Q31" s="15"/>
      <c r="R31" s="23">
        <f>IF(P$12=0,0,P31/P$12)</f>
        <v>0</v>
      </c>
      <c r="S31" s="15"/>
      <c r="T31" s="21">
        <f>+T16-T18+T29</f>
        <v>-479580</v>
      </c>
      <c r="U31" s="15"/>
      <c r="V31" s="23">
        <f>IF(T$12=0,0,T31/T$12)</f>
        <v>0</v>
      </c>
      <c r="W31" s="17"/>
      <c r="X31" s="21">
        <f>+P31-T31</f>
        <v>136388.39000000001</v>
      </c>
      <c r="Y31" s="17"/>
      <c r="Z31" s="23">
        <f>IF(T31=0,0,X31/T31)</f>
        <v>-0.28439132157304309</v>
      </c>
    </row>
    <row r="32" spans="1:26" ht="15" customHeight="1" x14ac:dyDescent="0.3">
      <c r="A32" s="10"/>
      <c r="B32" s="11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293</v>
      </c>
      <c r="C33" s="11"/>
      <c r="D33" s="5"/>
      <c r="E33" s="5"/>
      <c r="F33" s="13">
        <f>IF(D$12=0,0,D33/D$12)</f>
        <v>0</v>
      </c>
      <c r="G33" s="5"/>
      <c r="H33" s="5"/>
      <c r="I33" s="5"/>
      <c r="J33" s="13">
        <f>IF(H$12=0,0,H33/H$12)</f>
        <v>0</v>
      </c>
      <c r="K33" s="5"/>
      <c r="L33" s="5">
        <f>+D33-H33</f>
        <v>0</v>
      </c>
      <c r="M33" s="5"/>
      <c r="N33" s="13">
        <f>IF(H33=0,0,L33/H33)</f>
        <v>0</v>
      </c>
      <c r="O33" s="11"/>
      <c r="P33" s="5"/>
      <c r="Q33" s="5"/>
      <c r="R33" s="13">
        <f>IF(P$12=0,0,P33/P$12)</f>
        <v>0</v>
      </c>
      <c r="S33" s="5"/>
      <c r="T33" s="5"/>
      <c r="U33" s="5"/>
      <c r="V33" s="13">
        <f>IF(T$12=0,0,T33/T$12)</f>
        <v>0</v>
      </c>
      <c r="W33" s="5"/>
      <c r="X33" s="5">
        <f>+P33-T33</f>
        <v>0</v>
      </c>
      <c r="Y33" s="5"/>
      <c r="Z33" s="13">
        <f>IF(T33=0,0,X33/T33)</f>
        <v>0</v>
      </c>
    </row>
    <row r="34" spans="1:26" ht="15" customHeight="1" x14ac:dyDescent="0.3">
      <c r="A34" s="10"/>
      <c r="B34" s="11"/>
      <c r="C34" s="11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O34" s="11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294</v>
      </c>
      <c r="C35" s="27"/>
      <c r="D35" s="29">
        <f>+D31-D33</f>
        <v>-42684.619999999995</v>
      </c>
      <c r="E35" s="15"/>
      <c r="F35" s="30">
        <f>IF(D$12=0,0,D35/D$12)</f>
        <v>0</v>
      </c>
      <c r="G35" s="15"/>
      <c r="H35" s="29">
        <f>+H31-H33</f>
        <v>-60508</v>
      </c>
      <c r="I35" s="15"/>
      <c r="J35" s="30">
        <f>IF(H$12=0,0,H35/H$12)</f>
        <v>0</v>
      </c>
      <c r="K35" s="17"/>
      <c r="L35" s="29">
        <f>D35-H35</f>
        <v>17823.380000000005</v>
      </c>
      <c r="M35" s="17"/>
      <c r="N35" s="30">
        <f>IF(H35=0,0,L35/H35)</f>
        <v>-0.29456237191776302</v>
      </c>
      <c r="O35" s="28"/>
      <c r="P35" s="29">
        <f>+P31-P33</f>
        <v>-343191.61</v>
      </c>
      <c r="Q35" s="15"/>
      <c r="R35" s="30">
        <f>IF(P$12=0,0,P35/P$12)</f>
        <v>0</v>
      </c>
      <c r="S35" s="15"/>
      <c r="T35" s="29">
        <f>+T31-T33</f>
        <v>-479580</v>
      </c>
      <c r="U35" s="15"/>
      <c r="V35" s="30">
        <f>IF(T$12=0,0,T35/T$12)</f>
        <v>0</v>
      </c>
      <c r="W35" s="17"/>
      <c r="X35" s="29">
        <f>P35-T35</f>
        <v>136388.39000000001</v>
      </c>
      <c r="Y35" s="17"/>
      <c r="Z35" s="30">
        <f>IF(T35=0,0,X35/T35)</f>
        <v>-0.28439132157304309</v>
      </c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11"/>
      <c r="B38" s="27" t="s">
        <v>297</v>
      </c>
      <c r="C38" s="27"/>
      <c r="D38" s="32">
        <f>SUM(D35:D37)</f>
        <v>-42684.619999999995</v>
      </c>
      <c r="E38" s="15"/>
      <c r="F38" s="34">
        <f>IF(D$12=0,0,D38/D$12)</f>
        <v>0</v>
      </c>
      <c r="G38" s="15"/>
      <c r="H38" s="32">
        <f>SUM(H35:H37)</f>
        <v>-60508</v>
      </c>
      <c r="I38" s="15"/>
      <c r="J38" s="34">
        <f>IF(H$12=0,0,H38/H$12)</f>
        <v>0</v>
      </c>
      <c r="K38" s="17"/>
      <c r="L38" s="32">
        <f>+D38-H38</f>
        <v>17823.380000000005</v>
      </c>
      <c r="M38" s="17"/>
      <c r="N38" s="34">
        <f>IF(H38=0,0,L38/H38)</f>
        <v>-0.29456237191776302</v>
      </c>
      <c r="O38" s="28"/>
      <c r="P38" s="32">
        <f>SUM(P35:P37)</f>
        <v>-343191.61</v>
      </c>
      <c r="Q38" s="15"/>
      <c r="R38" s="34">
        <f>IF(P$12=0,0,P38/P$12)</f>
        <v>0</v>
      </c>
      <c r="S38" s="15"/>
      <c r="T38" s="32">
        <f>SUM(T35:T37)</f>
        <v>-479580</v>
      </c>
      <c r="U38" s="15"/>
      <c r="V38" s="34">
        <f>IF(T$12=0,0,T38/T$12)</f>
        <v>0</v>
      </c>
      <c r="W38" s="17"/>
      <c r="X38" s="32">
        <f>+P38-T38</f>
        <v>136388.39000000001</v>
      </c>
      <c r="Y38" s="17"/>
      <c r="Z38" s="34">
        <f>IF(T38=0,0,X38/T38)</f>
        <v>-0.28439132157304309</v>
      </c>
    </row>
    <row r="39" spans="1:26" ht="15" customHeight="1" x14ac:dyDescent="0.3">
      <c r="A39" s="10"/>
      <c r="C39" s="10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6">
        <v>44694.888552430559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0" t="s">
        <v>298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1"/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570DB-87C5-9A74-70BD-3CA3B6BA8F26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","201"," - ","General Manager")</f>
        <v>Department 201 - General Manager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46916.970000000008</v>
      </c>
      <c r="E18" s="22"/>
      <c r="F18" s="33">
        <f t="shared" ref="F18:F49" si="0">IF(D$12=0,0,D18/D$12)</f>
        <v>0</v>
      </c>
      <c r="G18" s="22"/>
      <c r="H18" s="22" cm="1">
        <f t="array" ref="H18">SUM(OSRRefH22x_0)</f>
        <v>48590.47803846153</v>
      </c>
      <c r="I18" s="22"/>
      <c r="J18" s="33">
        <f t="shared" ref="J18:J49" si="1">IF(H$12=0,0,H18/H$12)</f>
        <v>0</v>
      </c>
      <c r="K18" s="5"/>
      <c r="L18" s="22">
        <f t="shared" ref="L18:L49" si="2">+D18-H18</f>
        <v>-1673.5080384615212</v>
      </c>
      <c r="M18" s="5"/>
      <c r="N18" s="33">
        <f t="shared" ref="N18:N49" si="3">IF(H18=0,0,L18/H18)</f>
        <v>-3.444106965024845E-2</v>
      </c>
      <c r="O18" s="11"/>
      <c r="P18" s="22" cm="1">
        <f t="array" ref="P18">SUM(OSRRefP22x_0)</f>
        <v>487723.95999999996</v>
      </c>
      <c r="Q18" s="22"/>
      <c r="R18" s="33">
        <f t="shared" ref="R18:R49" si="4">IF(P$12=0,0,P18/P$12)</f>
        <v>0</v>
      </c>
      <c r="S18" s="22"/>
      <c r="T18" s="22" cm="1">
        <f t="array" ref="T18">SUM(OSRRefT22x_0)</f>
        <v>481236.77952692285</v>
      </c>
      <c r="U18" s="22"/>
      <c r="V18" s="33">
        <f t="shared" ref="V18:V49" si="5">IF(T$12=0,0,T18/T$12)</f>
        <v>0</v>
      </c>
      <c r="W18" s="5"/>
      <c r="X18" s="22">
        <f t="shared" ref="X18:X49" si="6">+P18-T18</f>
        <v>6487.1804730771109</v>
      </c>
      <c r="Y18" s="5"/>
      <c r="Z18" s="33">
        <f t="shared" ref="Z18:Z49" si="7">IF(T18=0,0,X18/T18)</f>
        <v>1.3480225845277865E-2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14785.32</v>
      </c>
      <c r="E19" s="2"/>
      <c r="F19" s="6">
        <f t="shared" si="0"/>
        <v>0</v>
      </c>
      <c r="G19" s="2"/>
      <c r="H19" s="2">
        <f>SUM(OSRRefH22_0x_0)</f>
        <v>9495.4011153846204</v>
      </c>
      <c r="I19" s="2"/>
      <c r="J19" s="6">
        <f t="shared" si="1"/>
        <v>0</v>
      </c>
      <c r="K19" s="2"/>
      <c r="L19" s="2">
        <f t="shared" si="2"/>
        <v>5289.9188846153793</v>
      </c>
      <c r="M19" s="2"/>
      <c r="N19" s="6">
        <f t="shared" si="3"/>
        <v>0.55710325665385074</v>
      </c>
      <c r="O19" s="14"/>
      <c r="P19" s="2">
        <f>SUM(OSRRefP22_0x_0)</f>
        <v>143582.58000000002</v>
      </c>
      <c r="Q19" s="2"/>
      <c r="R19" s="6">
        <f t="shared" si="4"/>
        <v>0</v>
      </c>
      <c r="S19" s="2"/>
      <c r="T19" s="2">
        <f>SUM(OSRRefT22_0x_0)</f>
        <v>97941.825680769238</v>
      </c>
      <c r="U19" s="2"/>
      <c r="V19" s="6">
        <f t="shared" si="5"/>
        <v>0</v>
      </c>
      <c r="W19" s="2"/>
      <c r="X19" s="2">
        <f t="shared" si="6"/>
        <v>45640.754319230778</v>
      </c>
      <c r="Y19" s="2"/>
      <c r="Z19" s="6">
        <f t="shared" si="7"/>
        <v>0.46599860684639338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2579.06</v>
      </c>
      <c r="E20" s="3"/>
      <c r="F20" s="8">
        <f t="shared" si="0"/>
        <v>0</v>
      </c>
      <c r="G20" s="3"/>
      <c r="H20" s="7">
        <v>1787.5641923076901</v>
      </c>
      <c r="I20" s="3"/>
      <c r="J20" s="8">
        <f t="shared" si="1"/>
        <v>0</v>
      </c>
      <c r="K20" s="3"/>
      <c r="L20" s="7">
        <f t="shared" si="2"/>
        <v>791.49580769230988</v>
      </c>
      <c r="M20" s="3"/>
      <c r="N20" s="8">
        <f t="shared" si="3"/>
        <v>0.44277895646953708</v>
      </c>
      <c r="O20" s="12"/>
      <c r="P20" s="7">
        <v>18066.599999999999</v>
      </c>
      <c r="Q20" s="3"/>
      <c r="R20" s="8">
        <f t="shared" si="4"/>
        <v>0</v>
      </c>
      <c r="S20" s="3"/>
      <c r="T20" s="7">
        <v>17944.783834615399</v>
      </c>
      <c r="U20" s="3"/>
      <c r="V20" s="8">
        <f t="shared" si="5"/>
        <v>0</v>
      </c>
      <c r="W20" s="3"/>
      <c r="X20" s="7">
        <f t="shared" si="6"/>
        <v>121.81616538460003</v>
      </c>
      <c r="Y20" s="3"/>
      <c r="Z20" s="8">
        <f t="shared" si="7"/>
        <v>6.7883885650167185E-3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289.61</v>
      </c>
      <c r="E21" s="3"/>
      <c r="F21" s="8">
        <f t="shared" si="0"/>
        <v>0</v>
      </c>
      <c r="G21" s="3"/>
      <c r="H21" s="7">
        <v>72.408846153846099</v>
      </c>
      <c r="I21" s="3"/>
      <c r="J21" s="8">
        <f t="shared" si="1"/>
        <v>0</v>
      </c>
      <c r="K21" s="3"/>
      <c r="L21" s="7">
        <f t="shared" si="2"/>
        <v>217.20115384615391</v>
      </c>
      <c r="M21" s="3"/>
      <c r="N21" s="8">
        <f t="shared" si="3"/>
        <v>2.9996494266000253</v>
      </c>
      <c r="O21" s="12"/>
      <c r="P21" s="7">
        <v>3318.69</v>
      </c>
      <c r="Q21" s="3"/>
      <c r="R21" s="8">
        <f t="shared" si="4"/>
        <v>0</v>
      </c>
      <c r="S21" s="3"/>
      <c r="T21" s="7">
        <v>726.88919230769204</v>
      </c>
      <c r="U21" s="3"/>
      <c r="V21" s="8">
        <f t="shared" si="5"/>
        <v>0</v>
      </c>
      <c r="W21" s="3"/>
      <c r="X21" s="7">
        <f t="shared" si="6"/>
        <v>2591.8008076923079</v>
      </c>
      <c r="Y21" s="3"/>
      <c r="Z21" s="8">
        <f t="shared" si="7"/>
        <v>3.5656064708624795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3588.59</v>
      </c>
      <c r="E22" s="3"/>
      <c r="F22" s="8">
        <f t="shared" si="0"/>
        <v>0</v>
      </c>
      <c r="G22" s="3"/>
      <c r="H22" s="7">
        <v>3359</v>
      </c>
      <c r="I22" s="3"/>
      <c r="J22" s="8">
        <f t="shared" si="1"/>
        <v>0</v>
      </c>
      <c r="K22" s="3"/>
      <c r="L22" s="7">
        <f t="shared" si="2"/>
        <v>229.59000000000015</v>
      </c>
      <c r="M22" s="3"/>
      <c r="N22" s="8">
        <f t="shared" si="3"/>
        <v>6.8350699612980098E-2</v>
      </c>
      <c r="O22" s="12"/>
      <c r="P22" s="7">
        <v>38010.699999999997</v>
      </c>
      <c r="Q22" s="3"/>
      <c r="R22" s="8">
        <f t="shared" si="4"/>
        <v>0</v>
      </c>
      <c r="S22" s="3"/>
      <c r="T22" s="7">
        <v>36354</v>
      </c>
      <c r="U22" s="3"/>
      <c r="V22" s="8">
        <f t="shared" si="5"/>
        <v>0</v>
      </c>
      <c r="W22" s="3"/>
      <c r="X22" s="7">
        <f t="shared" si="6"/>
        <v>1656.6999999999971</v>
      </c>
      <c r="Y22" s="3"/>
      <c r="Z22" s="8">
        <f t="shared" si="7"/>
        <v>4.5571326401496318E-2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58.37</v>
      </c>
      <c r="E23" s="3"/>
      <c r="F23" s="8">
        <f t="shared" si="0"/>
        <v>0</v>
      </c>
      <c r="G23" s="3"/>
      <c r="H23" s="7">
        <v>49.051153846153802</v>
      </c>
      <c r="I23" s="3"/>
      <c r="J23" s="8">
        <f t="shared" si="1"/>
        <v>0</v>
      </c>
      <c r="K23" s="3"/>
      <c r="L23" s="7">
        <f t="shared" si="2"/>
        <v>9.3188461538461951</v>
      </c>
      <c r="M23" s="3"/>
      <c r="N23" s="8">
        <f t="shared" si="3"/>
        <v>0.18998220068531382</v>
      </c>
      <c r="O23" s="12"/>
      <c r="P23" s="7">
        <v>668.88</v>
      </c>
      <c r="Q23" s="3"/>
      <c r="R23" s="8">
        <f t="shared" si="4"/>
        <v>0</v>
      </c>
      <c r="S23" s="3"/>
      <c r="T23" s="7">
        <v>492.40880769230699</v>
      </c>
      <c r="U23" s="3"/>
      <c r="V23" s="8">
        <f t="shared" si="5"/>
        <v>0</v>
      </c>
      <c r="W23" s="3"/>
      <c r="X23" s="7">
        <f t="shared" si="6"/>
        <v>176.471192307693</v>
      </c>
      <c r="Y23" s="3"/>
      <c r="Z23" s="8">
        <f t="shared" si="7"/>
        <v>0.35838350076379033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3490.5</v>
      </c>
      <c r="E24" s="3"/>
      <c r="F24" s="8">
        <f t="shared" si="0"/>
        <v>0</v>
      </c>
      <c r="G24" s="3"/>
      <c r="H24" s="7">
        <v>2008.7615384615401</v>
      </c>
      <c r="I24" s="3"/>
      <c r="J24" s="8">
        <f t="shared" si="1"/>
        <v>0</v>
      </c>
      <c r="K24" s="3"/>
      <c r="L24" s="7">
        <f t="shared" si="2"/>
        <v>1481.7384615384599</v>
      </c>
      <c r="M24" s="3"/>
      <c r="N24" s="8">
        <f t="shared" si="3"/>
        <v>0.73763780974882964</v>
      </c>
      <c r="O24" s="12"/>
      <c r="P24" s="7">
        <v>23891.25</v>
      </c>
      <c r="Q24" s="3"/>
      <c r="R24" s="8">
        <f t="shared" si="4"/>
        <v>0</v>
      </c>
      <c r="S24" s="3"/>
      <c r="T24" s="7">
        <v>20165.313076923099</v>
      </c>
      <c r="U24" s="3"/>
      <c r="V24" s="8">
        <f t="shared" si="5"/>
        <v>0</v>
      </c>
      <c r="W24" s="3"/>
      <c r="X24" s="7">
        <f t="shared" si="6"/>
        <v>3725.9369230769007</v>
      </c>
      <c r="Y24" s="3"/>
      <c r="Z24" s="8">
        <f t="shared" si="7"/>
        <v>0.1847696045612508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2976.96</v>
      </c>
      <c r="E26" s="3"/>
      <c r="F26" s="8">
        <f t="shared" si="0"/>
        <v>0</v>
      </c>
      <c r="G26" s="3"/>
      <c r="H26" s="7">
        <v>1167.88461538462</v>
      </c>
      <c r="I26" s="3"/>
      <c r="J26" s="8">
        <f t="shared" si="1"/>
        <v>0</v>
      </c>
      <c r="K26" s="3"/>
      <c r="L26" s="7">
        <f t="shared" si="2"/>
        <v>1809.07538461538</v>
      </c>
      <c r="M26" s="3"/>
      <c r="N26" s="8">
        <f t="shared" si="3"/>
        <v>1.5490189362753068</v>
      </c>
      <c r="O26" s="12"/>
      <c r="P26" s="7">
        <v>26646.53</v>
      </c>
      <c r="Q26" s="3"/>
      <c r="R26" s="8">
        <f t="shared" si="4"/>
        <v>0</v>
      </c>
      <c r="S26" s="3"/>
      <c r="T26" s="7">
        <v>11724.0192307692</v>
      </c>
      <c r="U26" s="3"/>
      <c r="V26" s="8">
        <f t="shared" si="5"/>
        <v>0</v>
      </c>
      <c r="W26" s="3"/>
      <c r="X26" s="7">
        <f t="shared" si="6"/>
        <v>14922.510769230799</v>
      </c>
      <c r="Y26" s="3"/>
      <c r="Z26" s="8">
        <f t="shared" si="7"/>
        <v>1.2728152756750255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1530.81</v>
      </c>
      <c r="E27" s="3"/>
      <c r="F27" s="8">
        <f t="shared" si="0"/>
        <v>0</v>
      </c>
      <c r="G27" s="3"/>
      <c r="H27" s="7">
        <v>700.73076923076906</v>
      </c>
      <c r="I27" s="3"/>
      <c r="J27" s="8">
        <f t="shared" si="1"/>
        <v>0</v>
      </c>
      <c r="K27" s="3"/>
      <c r="L27" s="7">
        <f t="shared" si="2"/>
        <v>830.07923076923089</v>
      </c>
      <c r="M27" s="3"/>
      <c r="N27" s="8">
        <f t="shared" si="3"/>
        <v>1.1845908117898902</v>
      </c>
      <c r="O27" s="12"/>
      <c r="P27" s="7">
        <v>30846.45</v>
      </c>
      <c r="Q27" s="3"/>
      <c r="R27" s="8">
        <f t="shared" si="4"/>
        <v>0</v>
      </c>
      <c r="S27" s="3"/>
      <c r="T27" s="7">
        <v>7034.4115384615397</v>
      </c>
      <c r="U27" s="3"/>
      <c r="V27" s="8">
        <f t="shared" si="5"/>
        <v>0</v>
      </c>
      <c r="W27" s="3"/>
      <c r="X27" s="7">
        <f t="shared" si="6"/>
        <v>23812.038461538461</v>
      </c>
      <c r="Y27" s="3"/>
      <c r="Z27" s="8">
        <f t="shared" si="7"/>
        <v>3.3850789552677023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271.42</v>
      </c>
      <c r="E28" s="3"/>
      <c r="F28" s="8">
        <f t="shared" si="0"/>
        <v>0</v>
      </c>
      <c r="G28" s="3"/>
      <c r="H28" s="7">
        <v>350</v>
      </c>
      <c r="I28" s="3"/>
      <c r="J28" s="8">
        <f t="shared" si="1"/>
        <v>0</v>
      </c>
      <c r="K28" s="3"/>
      <c r="L28" s="7">
        <f t="shared" si="2"/>
        <v>-78.579999999999984</v>
      </c>
      <c r="M28" s="3"/>
      <c r="N28" s="8">
        <f t="shared" si="3"/>
        <v>-0.22451428571428567</v>
      </c>
      <c r="O28" s="12"/>
      <c r="P28" s="7">
        <v>2133.48</v>
      </c>
      <c r="Q28" s="3"/>
      <c r="R28" s="8">
        <f t="shared" si="4"/>
        <v>0</v>
      </c>
      <c r="S28" s="3"/>
      <c r="T28" s="7">
        <v>3500</v>
      </c>
      <c r="U28" s="3"/>
      <c r="V28" s="8">
        <f t="shared" si="5"/>
        <v>0</v>
      </c>
      <c r="W28" s="3"/>
      <c r="X28" s="7">
        <f t="shared" si="6"/>
        <v>-1366.52</v>
      </c>
      <c r="Y28" s="3"/>
      <c r="Z28" s="8">
        <f t="shared" si="7"/>
        <v>-0.39043428571428573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24599.34</v>
      </c>
      <c r="E29" s="2"/>
      <c r="F29" s="6">
        <f t="shared" si="0"/>
        <v>0</v>
      </c>
      <c r="G29" s="2"/>
      <c r="H29" s="2">
        <f>SUM(OSRRefH22_1x_0)</f>
        <v>21489.076923076907</v>
      </c>
      <c r="I29" s="2"/>
      <c r="J29" s="6">
        <f t="shared" si="1"/>
        <v>0</v>
      </c>
      <c r="K29" s="2"/>
      <c r="L29" s="2">
        <f t="shared" si="2"/>
        <v>3110.2630769230927</v>
      </c>
      <c r="M29" s="2"/>
      <c r="N29" s="6">
        <f t="shared" si="3"/>
        <v>0.14473693253817765</v>
      </c>
      <c r="O29" s="14"/>
      <c r="P29" s="2">
        <f>SUM(OSRRefP22_1x_0)</f>
        <v>214820.42</v>
      </c>
      <c r="Q29" s="2"/>
      <c r="R29" s="6">
        <f t="shared" si="4"/>
        <v>0</v>
      </c>
      <c r="S29" s="2"/>
      <c r="T29" s="2">
        <f>SUM(OSRRefT22_1x_0)</f>
        <v>215721.95384615357</v>
      </c>
      <c r="U29" s="2"/>
      <c r="V29" s="6">
        <f t="shared" si="5"/>
        <v>0</v>
      </c>
      <c r="W29" s="2"/>
      <c r="X29" s="2">
        <f t="shared" si="6"/>
        <v>-901.53384615355753</v>
      </c>
      <c r="Y29" s="2"/>
      <c r="Z29" s="6">
        <f t="shared" si="7"/>
        <v>-4.1791474167552946E-3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>
        <v>18577.310000000001</v>
      </c>
      <c r="E30" s="3"/>
      <c r="F30" s="8">
        <f t="shared" si="0"/>
        <v>0</v>
      </c>
      <c r="G30" s="3"/>
      <c r="H30" s="7">
        <v>15657.692307692299</v>
      </c>
      <c r="I30" s="3"/>
      <c r="J30" s="8">
        <f t="shared" si="1"/>
        <v>0</v>
      </c>
      <c r="K30" s="3"/>
      <c r="L30" s="7">
        <f t="shared" si="2"/>
        <v>2919.6176923077019</v>
      </c>
      <c r="M30" s="3"/>
      <c r="N30" s="8">
        <f t="shared" si="3"/>
        <v>0.1864653893392294</v>
      </c>
      <c r="O30" s="12"/>
      <c r="P30" s="7">
        <v>165393.29</v>
      </c>
      <c r="Q30" s="3"/>
      <c r="R30" s="8">
        <f t="shared" si="4"/>
        <v>0</v>
      </c>
      <c r="S30" s="3"/>
      <c r="T30" s="7">
        <v>164405.76923076899</v>
      </c>
      <c r="U30" s="3"/>
      <c r="V30" s="8">
        <f t="shared" si="5"/>
        <v>0</v>
      </c>
      <c r="W30" s="3"/>
      <c r="X30" s="7">
        <f t="shared" si="6"/>
        <v>987.5207692310214</v>
      </c>
      <c r="Y30" s="3"/>
      <c r="Z30" s="8">
        <f t="shared" si="7"/>
        <v>6.0066065433803783E-3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6022.03</v>
      </c>
      <c r="E31" s="3"/>
      <c r="F31" s="8">
        <f t="shared" si="0"/>
        <v>0</v>
      </c>
      <c r="G31" s="3"/>
      <c r="H31" s="7">
        <v>5831.3846153846098</v>
      </c>
      <c r="I31" s="3"/>
      <c r="J31" s="8">
        <f t="shared" si="1"/>
        <v>0</v>
      </c>
      <c r="K31" s="3"/>
      <c r="L31" s="7">
        <f t="shared" si="2"/>
        <v>190.64538461538996</v>
      </c>
      <c r="M31" s="3"/>
      <c r="N31" s="8">
        <f t="shared" si="3"/>
        <v>3.2692987547489338E-2</v>
      </c>
      <c r="O31" s="12"/>
      <c r="P31" s="7">
        <v>49297.03</v>
      </c>
      <c r="Q31" s="3"/>
      <c r="R31" s="8">
        <f t="shared" si="4"/>
        <v>0</v>
      </c>
      <c r="S31" s="3"/>
      <c r="T31" s="7">
        <v>51316.184615384598</v>
      </c>
      <c r="U31" s="3"/>
      <c r="V31" s="8">
        <f t="shared" si="5"/>
        <v>0</v>
      </c>
      <c r="W31" s="3"/>
      <c r="X31" s="7">
        <f t="shared" si="6"/>
        <v>-2019.1546153845993</v>
      </c>
      <c r="Y31" s="3"/>
      <c r="Z31" s="8">
        <f t="shared" si="7"/>
        <v>-3.9347325420200016E-2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>
        <v>70.88</v>
      </c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70.88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59.22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59.22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250</v>
      </c>
      <c r="I40" s="2"/>
      <c r="J40" s="6">
        <f t="shared" si="1"/>
        <v>0</v>
      </c>
      <c r="K40" s="2"/>
      <c r="L40" s="2">
        <f t="shared" si="2"/>
        <v>-250</v>
      </c>
      <c r="M40" s="2"/>
      <c r="N40" s="6">
        <f t="shared" si="3"/>
        <v>-1</v>
      </c>
      <c r="O40" s="14"/>
      <c r="P40" s="2">
        <f>SUM(OSRRefP22_2x_0)</f>
        <v>1969.62</v>
      </c>
      <c r="Q40" s="2"/>
      <c r="R40" s="6">
        <f t="shared" si="4"/>
        <v>0</v>
      </c>
      <c r="S40" s="2"/>
      <c r="T40" s="2">
        <f>SUM(OSRRefT22_2x_0)</f>
        <v>2100</v>
      </c>
      <c r="U40" s="2"/>
      <c r="V40" s="6">
        <f t="shared" si="5"/>
        <v>0</v>
      </c>
      <c r="W40" s="2"/>
      <c r="X40" s="2">
        <f t="shared" si="6"/>
        <v>-130.38000000000011</v>
      </c>
      <c r="Y40" s="2"/>
      <c r="Z40" s="6">
        <f t="shared" si="7"/>
        <v>-6.2085714285714334E-2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/>
      <c r="E41" s="3"/>
      <c r="F41" s="8">
        <f t="shared" si="0"/>
        <v>0</v>
      </c>
      <c r="G41" s="3"/>
      <c r="H41" s="7">
        <v>250</v>
      </c>
      <c r="I41" s="3"/>
      <c r="J41" s="8">
        <f t="shared" si="1"/>
        <v>0</v>
      </c>
      <c r="K41" s="3"/>
      <c r="L41" s="7">
        <f t="shared" si="2"/>
        <v>-250</v>
      </c>
      <c r="M41" s="3"/>
      <c r="N41" s="8">
        <f t="shared" si="3"/>
        <v>-1</v>
      </c>
      <c r="O41" s="12"/>
      <c r="P41" s="7">
        <v>1969.62</v>
      </c>
      <c r="Q41" s="3"/>
      <c r="R41" s="8">
        <f t="shared" si="4"/>
        <v>0</v>
      </c>
      <c r="S41" s="3"/>
      <c r="T41" s="7">
        <v>2100</v>
      </c>
      <c r="U41" s="3"/>
      <c r="V41" s="8">
        <f t="shared" si="5"/>
        <v>0</v>
      </c>
      <c r="W41" s="3"/>
      <c r="X41" s="7">
        <f t="shared" si="6"/>
        <v>-130.38000000000011</v>
      </c>
      <c r="Y41" s="3"/>
      <c r="Z41" s="8">
        <f t="shared" si="7"/>
        <v>-6.2085714285714334E-2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314.87</v>
      </c>
      <c r="E42" s="2"/>
      <c r="F42" s="6">
        <f t="shared" si="0"/>
        <v>0</v>
      </c>
      <c r="G42" s="2"/>
      <c r="H42" s="2">
        <f>SUM(OSRRefH22_3x_0)</f>
        <v>315</v>
      </c>
      <c r="I42" s="2"/>
      <c r="J42" s="6">
        <f t="shared" si="1"/>
        <v>0</v>
      </c>
      <c r="K42" s="2"/>
      <c r="L42" s="2">
        <f t="shared" si="2"/>
        <v>-0.12999999999999545</v>
      </c>
      <c r="M42" s="2"/>
      <c r="N42" s="6">
        <f t="shared" si="3"/>
        <v>-4.1269841269839827E-4</v>
      </c>
      <c r="O42" s="14"/>
      <c r="P42" s="2">
        <f>SUM(OSRRefP22_3x_0)</f>
        <v>3148.7</v>
      </c>
      <c r="Q42" s="2"/>
      <c r="R42" s="6">
        <f t="shared" si="4"/>
        <v>0</v>
      </c>
      <c r="S42" s="2"/>
      <c r="T42" s="2">
        <f>SUM(OSRRefT22_3x_0)</f>
        <v>3150</v>
      </c>
      <c r="U42" s="2"/>
      <c r="V42" s="6">
        <f t="shared" si="5"/>
        <v>0</v>
      </c>
      <c r="W42" s="2"/>
      <c r="X42" s="2">
        <f t="shared" si="6"/>
        <v>-1.3000000000001819</v>
      </c>
      <c r="Y42" s="2"/>
      <c r="Z42" s="6">
        <f t="shared" si="7"/>
        <v>-4.1269841269847042E-4</v>
      </c>
    </row>
    <row r="43" spans="1:26" s="70" customFormat="1" ht="15" hidden="1" customHeight="1" outlineLevel="2" x14ac:dyDescent="0.3">
      <c r="A43" s="26"/>
      <c r="B43" s="12" t="str">
        <f>CONCATENATE("          ","6322"," - ","EQUIPMENT DEPRECIATION EXPENSE")</f>
        <v xml:space="preserve">          6322 - EQUIPMENT DEPRECIATION EXPENSE</v>
      </c>
      <c r="C43" s="12"/>
      <c r="D43" s="7">
        <v>314.87</v>
      </c>
      <c r="E43" s="3"/>
      <c r="F43" s="8">
        <f t="shared" si="0"/>
        <v>0</v>
      </c>
      <c r="G43" s="3"/>
      <c r="H43" s="7">
        <v>315</v>
      </c>
      <c r="I43" s="3"/>
      <c r="J43" s="8">
        <f t="shared" si="1"/>
        <v>0</v>
      </c>
      <c r="K43" s="3"/>
      <c r="L43" s="7">
        <f t="shared" si="2"/>
        <v>-0.12999999999999545</v>
      </c>
      <c r="M43" s="3"/>
      <c r="N43" s="8">
        <f t="shared" si="3"/>
        <v>-4.1269841269839827E-4</v>
      </c>
      <c r="O43" s="12"/>
      <c r="P43" s="7">
        <v>3148.7</v>
      </c>
      <c r="Q43" s="3"/>
      <c r="R43" s="8">
        <f t="shared" si="4"/>
        <v>0</v>
      </c>
      <c r="S43" s="3"/>
      <c r="T43" s="7">
        <v>3150</v>
      </c>
      <c r="U43" s="3"/>
      <c r="V43" s="8">
        <f t="shared" si="5"/>
        <v>0</v>
      </c>
      <c r="W43" s="3"/>
      <c r="X43" s="7">
        <f t="shared" si="6"/>
        <v>-1.3000000000001819</v>
      </c>
      <c r="Y43" s="3"/>
      <c r="Z43" s="8">
        <f t="shared" si="7"/>
        <v>-4.1269841269847042E-4</v>
      </c>
    </row>
    <row r="44" spans="1:26" s="69" customFormat="1" ht="15" customHeight="1" outlineLevel="1" collapsed="1" x14ac:dyDescent="0.3">
      <c r="A44" s="25"/>
      <c r="B44" s="14" t="str">
        <f>CONCATENATE("     ","Donations                                         ")</f>
        <v xml:space="preserve">     Donations             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10000</v>
      </c>
      <c r="I44" s="2"/>
      <c r="J44" s="6">
        <f t="shared" si="1"/>
        <v>0</v>
      </c>
      <c r="K44" s="2"/>
      <c r="L44" s="2">
        <f t="shared" si="2"/>
        <v>-10000</v>
      </c>
      <c r="M44" s="2"/>
      <c r="N44" s="6">
        <f t="shared" si="3"/>
        <v>-1</v>
      </c>
      <c r="O44" s="14"/>
      <c r="P44" s="2">
        <f>SUM(OSRRefP22_4x_0)</f>
        <v>25300</v>
      </c>
      <c r="Q44" s="2"/>
      <c r="R44" s="6">
        <f t="shared" si="4"/>
        <v>0</v>
      </c>
      <c r="S44" s="2"/>
      <c r="T44" s="2">
        <f>SUM(OSRRefT22_4x_0)</f>
        <v>63450</v>
      </c>
      <c r="U44" s="2"/>
      <c r="V44" s="6">
        <f t="shared" si="5"/>
        <v>0</v>
      </c>
      <c r="W44" s="2"/>
      <c r="X44" s="2">
        <f t="shared" si="6"/>
        <v>-38150</v>
      </c>
      <c r="Y44" s="2"/>
      <c r="Z44" s="6">
        <f t="shared" si="7"/>
        <v>-0.60126083530338847</v>
      </c>
    </row>
    <row r="45" spans="1:26" s="70" customFormat="1" ht="15" hidden="1" customHeight="1" outlineLevel="2" x14ac:dyDescent="0.3">
      <c r="A45" s="26"/>
      <c r="B45" s="12" t="str">
        <f>CONCATENATE("          ","6399"," - ","DONATION-ON CAMPUS")</f>
        <v xml:space="preserve">          6399 - DONATION-ON CAMPUS</v>
      </c>
      <c r="C45" s="12"/>
      <c r="D45" s="7"/>
      <c r="E45" s="3"/>
      <c r="F45" s="8">
        <f t="shared" si="0"/>
        <v>0</v>
      </c>
      <c r="G45" s="3"/>
      <c r="H45" s="7">
        <v>10000</v>
      </c>
      <c r="I45" s="3"/>
      <c r="J45" s="8">
        <f t="shared" si="1"/>
        <v>0</v>
      </c>
      <c r="K45" s="3"/>
      <c r="L45" s="7">
        <f t="shared" si="2"/>
        <v>-10000</v>
      </c>
      <c r="M45" s="3"/>
      <c r="N45" s="8">
        <f t="shared" si="3"/>
        <v>-1</v>
      </c>
      <c r="O45" s="12"/>
      <c r="P45" s="7">
        <v>25300</v>
      </c>
      <c r="Q45" s="3"/>
      <c r="R45" s="8">
        <f t="shared" si="4"/>
        <v>0</v>
      </c>
      <c r="S45" s="3"/>
      <c r="T45" s="7">
        <v>63450</v>
      </c>
      <c r="U45" s="3"/>
      <c r="V45" s="8">
        <f t="shared" si="5"/>
        <v>0</v>
      </c>
      <c r="W45" s="3"/>
      <c r="X45" s="7">
        <f t="shared" si="6"/>
        <v>-38150</v>
      </c>
      <c r="Y45" s="3"/>
      <c r="Z45" s="8">
        <f t="shared" si="7"/>
        <v>-0.60126083530338847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SUM(OSRRefD22_5x_0)</f>
        <v>0</v>
      </c>
      <c r="E46" s="2"/>
      <c r="F46" s="6">
        <f t="shared" si="0"/>
        <v>0</v>
      </c>
      <c r="G46" s="2"/>
      <c r="H46" s="2">
        <f>SUM(OSRRefH22_5x_0)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635.58000000000004</v>
      </c>
      <c r="Q46" s="2"/>
      <c r="R46" s="6">
        <f t="shared" si="4"/>
        <v>0</v>
      </c>
      <c r="S46" s="2"/>
      <c r="T46" s="2">
        <f>SUM(OSRRefT22_5x_0)</f>
        <v>3000</v>
      </c>
      <c r="U46" s="2"/>
      <c r="V46" s="6">
        <f t="shared" si="5"/>
        <v>0</v>
      </c>
      <c r="W46" s="2"/>
      <c r="X46" s="2">
        <f t="shared" si="6"/>
        <v>-2364.42</v>
      </c>
      <c r="Y46" s="2"/>
      <c r="Z46" s="6">
        <f t="shared" si="7"/>
        <v>-0.78814000000000006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/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635.58000000000004</v>
      </c>
      <c r="Q47" s="3"/>
      <c r="R47" s="8">
        <f t="shared" si="4"/>
        <v>0</v>
      </c>
      <c r="S47" s="3"/>
      <c r="T47" s="7">
        <v>3000</v>
      </c>
      <c r="U47" s="3"/>
      <c r="V47" s="8">
        <f t="shared" si="5"/>
        <v>0</v>
      </c>
      <c r="W47" s="3"/>
      <c r="X47" s="7">
        <f t="shared" si="6"/>
        <v>-2364.42</v>
      </c>
      <c r="Y47" s="3"/>
      <c r="Z47" s="8">
        <f t="shared" si="7"/>
        <v>-0.78814000000000006</v>
      </c>
    </row>
    <row r="48" spans="1:26" s="69" customFormat="1" ht="15" customHeight="1" outlineLevel="1" collapsed="1" x14ac:dyDescent="0.3">
      <c r="A48" s="25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SUM(OSRRefD22_6x_0)</f>
        <v>117.71</v>
      </c>
      <c r="E48" s="2"/>
      <c r="F48" s="6">
        <f t="shared" si="0"/>
        <v>0</v>
      </c>
      <c r="G48" s="2"/>
      <c r="H48" s="2">
        <f>SUM(OSRRefH22_6x_0)</f>
        <v>118</v>
      </c>
      <c r="I48" s="2"/>
      <c r="J48" s="6">
        <f t="shared" si="1"/>
        <v>0</v>
      </c>
      <c r="K48" s="2"/>
      <c r="L48" s="2">
        <f t="shared" si="2"/>
        <v>-0.29000000000000625</v>
      </c>
      <c r="M48" s="2"/>
      <c r="N48" s="6">
        <f t="shared" si="3"/>
        <v>-2.457627118644121E-3</v>
      </c>
      <c r="O48" s="14"/>
      <c r="P48" s="2">
        <f>SUM(OSRRefP22_6x_0)</f>
        <v>1177.0999999999999</v>
      </c>
      <c r="Q48" s="2"/>
      <c r="R48" s="6">
        <f t="shared" si="4"/>
        <v>0</v>
      </c>
      <c r="S48" s="2"/>
      <c r="T48" s="2">
        <f>SUM(OSRRefT22_6x_0)</f>
        <v>1180</v>
      </c>
      <c r="U48" s="2"/>
      <c r="V48" s="6">
        <f t="shared" si="5"/>
        <v>0</v>
      </c>
      <c r="W48" s="2"/>
      <c r="X48" s="2">
        <f t="shared" si="6"/>
        <v>-2.9000000000000909</v>
      </c>
      <c r="Y48" s="2"/>
      <c r="Z48" s="6">
        <f t="shared" si="7"/>
        <v>-2.4576271186441448E-3</v>
      </c>
    </row>
    <row r="49" spans="1:26" s="70" customFormat="1" ht="15" hidden="1" customHeight="1" outlineLevel="2" x14ac:dyDescent="0.3">
      <c r="A49" s="26"/>
      <c r="B49" s="12" t="str">
        <f>CONCATENATE("          ","6351"," - ","EQUIPMENT RENTAL")</f>
        <v xml:space="preserve">          6351 - EQUIPMENT RENTAL</v>
      </c>
      <c r="C49" s="12"/>
      <c r="D49" s="7">
        <v>117.71</v>
      </c>
      <c r="E49" s="3"/>
      <c r="F49" s="8">
        <f t="shared" si="0"/>
        <v>0</v>
      </c>
      <c r="G49" s="3"/>
      <c r="H49" s="7">
        <v>118</v>
      </c>
      <c r="I49" s="3"/>
      <c r="J49" s="8">
        <f t="shared" si="1"/>
        <v>0</v>
      </c>
      <c r="K49" s="3"/>
      <c r="L49" s="7">
        <f t="shared" si="2"/>
        <v>-0.29000000000000625</v>
      </c>
      <c r="M49" s="3"/>
      <c r="N49" s="8">
        <f t="shared" si="3"/>
        <v>-2.457627118644121E-3</v>
      </c>
      <c r="O49" s="12"/>
      <c r="P49" s="7">
        <v>1177.0999999999999</v>
      </c>
      <c r="Q49" s="3"/>
      <c r="R49" s="8">
        <f t="shared" si="4"/>
        <v>0</v>
      </c>
      <c r="S49" s="3"/>
      <c r="T49" s="7">
        <v>1180</v>
      </c>
      <c r="U49" s="3"/>
      <c r="V49" s="8">
        <f t="shared" si="5"/>
        <v>0</v>
      </c>
      <c r="W49" s="3"/>
      <c r="X49" s="7">
        <f t="shared" si="6"/>
        <v>-2.9000000000000909</v>
      </c>
      <c r="Y49" s="3"/>
      <c r="Z49" s="8">
        <f t="shared" si="7"/>
        <v>-2.4576271186441448E-3</v>
      </c>
    </row>
    <row r="50" spans="1:26" s="69" customFormat="1" ht="15" customHeight="1" outlineLevel="1" collapsed="1" x14ac:dyDescent="0.3">
      <c r="A50" s="25"/>
      <c r="B50" s="14" t="str">
        <f>CONCATENATE("     ","Freight out/Postage                               ")</f>
        <v xml:space="preserve">     Freight out/Postage                               </v>
      </c>
      <c r="C50" s="14"/>
      <c r="D50" s="2">
        <f>SUM(OSRRefD22_7x_0)</f>
        <v>0</v>
      </c>
      <c r="E50" s="2"/>
      <c r="F50" s="6">
        <f t="shared" ref="F50:F71" si="8">IF(D$12=0,0,D50/D$12)</f>
        <v>0</v>
      </c>
      <c r="G50" s="2"/>
      <c r="H50" s="2">
        <f>SUM(OSRRefH22_7x_0)</f>
        <v>25</v>
      </c>
      <c r="I50" s="2"/>
      <c r="J50" s="6">
        <f t="shared" ref="J50:J71" si="9">IF(H$12=0,0,H50/H$12)</f>
        <v>0</v>
      </c>
      <c r="K50" s="2"/>
      <c r="L50" s="2">
        <f t="shared" ref="L50:L71" si="10">+D50-H50</f>
        <v>-25</v>
      </c>
      <c r="M50" s="2"/>
      <c r="N50" s="6">
        <f t="shared" ref="N50:N71" si="11">IF(H50=0,0,L50/H50)</f>
        <v>-1</v>
      </c>
      <c r="O50" s="14"/>
      <c r="P50" s="2">
        <f>SUM(OSRRefP22_7x_0)</f>
        <v>32.17</v>
      </c>
      <c r="Q50" s="2"/>
      <c r="R50" s="6">
        <f t="shared" ref="R50:R71" si="12">IF(P$12=0,0,P50/P$12)</f>
        <v>0</v>
      </c>
      <c r="S50" s="2"/>
      <c r="T50" s="2">
        <f>SUM(OSRRefT22_7x_0)</f>
        <v>700</v>
      </c>
      <c r="U50" s="2"/>
      <c r="V50" s="6">
        <f t="shared" ref="V50:V71" si="13">IF(T$12=0,0,T50/T$12)</f>
        <v>0</v>
      </c>
      <c r="W50" s="2"/>
      <c r="X50" s="2">
        <f t="shared" ref="X50:X71" si="14">+P50-T50</f>
        <v>-667.83</v>
      </c>
      <c r="Y50" s="2"/>
      <c r="Z50" s="6">
        <f t="shared" ref="Z50:Z71" si="15">IF(T50=0,0,X50/T50)</f>
        <v>-0.95404285714285719</v>
      </c>
    </row>
    <row r="51" spans="1:26" s="70" customFormat="1" ht="15" hidden="1" customHeight="1" outlineLevel="2" x14ac:dyDescent="0.3">
      <c r="A51" s="26"/>
      <c r="B51" s="12" t="str">
        <f>CONCATENATE("          ","6307"," - ","POSTAGE")</f>
        <v xml:space="preserve">          6307 - POSTAGE</v>
      </c>
      <c r="C51" s="12"/>
      <c r="D51" s="7"/>
      <c r="E51" s="3"/>
      <c r="F51" s="8">
        <f t="shared" si="8"/>
        <v>0</v>
      </c>
      <c r="G51" s="3"/>
      <c r="H51" s="7">
        <v>25</v>
      </c>
      <c r="I51" s="3"/>
      <c r="J51" s="8">
        <f t="shared" si="9"/>
        <v>0</v>
      </c>
      <c r="K51" s="3"/>
      <c r="L51" s="7">
        <f t="shared" si="10"/>
        <v>-25</v>
      </c>
      <c r="M51" s="3"/>
      <c r="N51" s="8">
        <f t="shared" si="11"/>
        <v>-1</v>
      </c>
      <c r="O51" s="12"/>
      <c r="P51" s="7">
        <v>32.17</v>
      </c>
      <c r="Q51" s="3"/>
      <c r="R51" s="8">
        <f t="shared" si="12"/>
        <v>0</v>
      </c>
      <c r="S51" s="3"/>
      <c r="T51" s="7">
        <v>700</v>
      </c>
      <c r="U51" s="3"/>
      <c r="V51" s="8">
        <f t="shared" si="13"/>
        <v>0</v>
      </c>
      <c r="W51" s="3"/>
      <c r="X51" s="7">
        <f t="shared" si="14"/>
        <v>-667.83</v>
      </c>
      <c r="Y51" s="3"/>
      <c r="Z51" s="8">
        <f t="shared" si="15"/>
        <v>-0.95404285714285719</v>
      </c>
    </row>
    <row r="52" spans="1:26" s="69" customFormat="1" ht="15" customHeight="1" outlineLevel="1" collapsed="1" x14ac:dyDescent="0.3">
      <c r="A52" s="25"/>
      <c r="B52" s="14" t="str">
        <f>CONCATENATE("     ","Insurance                                         ")</f>
        <v xml:space="preserve">     Insurance                                         </v>
      </c>
      <c r="C52" s="14"/>
      <c r="D52" s="2">
        <f>SUM(OSRRefD22_8x_0)</f>
        <v>156.47999999999999</v>
      </c>
      <c r="E52" s="2"/>
      <c r="F52" s="6">
        <f t="shared" si="8"/>
        <v>0</v>
      </c>
      <c r="G52" s="2"/>
      <c r="H52" s="2">
        <f>SUM(OSRRefH22_8x_0)</f>
        <v>150</v>
      </c>
      <c r="I52" s="2"/>
      <c r="J52" s="6">
        <f t="shared" si="9"/>
        <v>0</v>
      </c>
      <c r="K52" s="2"/>
      <c r="L52" s="2">
        <f t="shared" si="10"/>
        <v>6.4799999999999898</v>
      </c>
      <c r="M52" s="2"/>
      <c r="N52" s="6">
        <f t="shared" si="11"/>
        <v>4.3199999999999933E-2</v>
      </c>
      <c r="O52" s="14"/>
      <c r="P52" s="2">
        <f>SUM(OSRRefP22_8x_0)</f>
        <v>1564.8</v>
      </c>
      <c r="Q52" s="2"/>
      <c r="R52" s="6">
        <f t="shared" si="12"/>
        <v>0</v>
      </c>
      <c r="S52" s="2"/>
      <c r="T52" s="2">
        <f>SUM(OSRRefT22_8x_0)</f>
        <v>1500</v>
      </c>
      <c r="U52" s="2"/>
      <c r="V52" s="6">
        <f t="shared" si="13"/>
        <v>0</v>
      </c>
      <c r="W52" s="2"/>
      <c r="X52" s="2">
        <f t="shared" si="14"/>
        <v>64.799999999999955</v>
      </c>
      <c r="Y52" s="2"/>
      <c r="Z52" s="6">
        <f t="shared" si="15"/>
        <v>4.3199999999999968E-2</v>
      </c>
    </row>
    <row r="53" spans="1:26" s="70" customFormat="1" ht="15" hidden="1" customHeight="1" outlineLevel="2" x14ac:dyDescent="0.3">
      <c r="A53" s="26"/>
      <c r="B53" s="12" t="str">
        <f>CONCATENATE("          ","6314"," - ","LIABILITY INSURANCE")</f>
        <v xml:space="preserve">          6314 - LIABILITY INSURANCE</v>
      </c>
      <c r="C53" s="12"/>
      <c r="D53" s="7">
        <v>156.47999999999999</v>
      </c>
      <c r="E53" s="3"/>
      <c r="F53" s="8">
        <f t="shared" si="8"/>
        <v>0</v>
      </c>
      <c r="G53" s="3"/>
      <c r="H53" s="7">
        <v>150</v>
      </c>
      <c r="I53" s="3"/>
      <c r="J53" s="8">
        <f t="shared" si="9"/>
        <v>0</v>
      </c>
      <c r="K53" s="3"/>
      <c r="L53" s="7">
        <f t="shared" si="10"/>
        <v>6.4799999999999898</v>
      </c>
      <c r="M53" s="3"/>
      <c r="N53" s="8">
        <f t="shared" si="11"/>
        <v>4.3199999999999933E-2</v>
      </c>
      <c r="O53" s="12"/>
      <c r="P53" s="7">
        <v>1564.8</v>
      </c>
      <c r="Q53" s="3"/>
      <c r="R53" s="8">
        <f t="shared" si="12"/>
        <v>0</v>
      </c>
      <c r="S53" s="3"/>
      <c r="T53" s="7">
        <v>1500</v>
      </c>
      <c r="U53" s="3"/>
      <c r="V53" s="8">
        <f t="shared" si="13"/>
        <v>0</v>
      </c>
      <c r="W53" s="3"/>
      <c r="X53" s="7">
        <f t="shared" si="14"/>
        <v>64.799999999999955</v>
      </c>
      <c r="Y53" s="3"/>
      <c r="Z53" s="8">
        <f t="shared" si="15"/>
        <v>4.3199999999999968E-2</v>
      </c>
    </row>
    <row r="54" spans="1:26" s="69" customFormat="1" ht="15" customHeight="1" outlineLevel="1" collapsed="1" x14ac:dyDescent="0.3">
      <c r="A54" s="25"/>
      <c r="B54" s="14" t="str">
        <f>CONCATENATE("     ","Professional Services                             ")</f>
        <v xml:space="preserve">     Professional Services                             </v>
      </c>
      <c r="C54" s="14"/>
      <c r="D54" s="2">
        <f>SUM(OSRRefD22_9x_0)</f>
        <v>0</v>
      </c>
      <c r="E54" s="2"/>
      <c r="F54" s="6">
        <f t="shared" si="8"/>
        <v>0</v>
      </c>
      <c r="G54" s="2"/>
      <c r="H54" s="2">
        <f>SUM(OSRRefH22_9x_0)</f>
        <v>0</v>
      </c>
      <c r="I54" s="2"/>
      <c r="J54" s="6">
        <f t="shared" si="9"/>
        <v>0</v>
      </c>
      <c r="K54" s="2"/>
      <c r="L54" s="2">
        <f t="shared" si="10"/>
        <v>0</v>
      </c>
      <c r="M54" s="2"/>
      <c r="N54" s="6">
        <f t="shared" si="11"/>
        <v>0</v>
      </c>
      <c r="O54" s="14"/>
      <c r="P54" s="2">
        <f>SUM(OSRRefP22_9x_0)</f>
        <v>56875</v>
      </c>
      <c r="Q54" s="2"/>
      <c r="R54" s="6">
        <f t="shared" si="12"/>
        <v>0</v>
      </c>
      <c r="S54" s="2"/>
      <c r="T54" s="2">
        <f>SUM(OSRRefT22_9x_0)</f>
        <v>59500</v>
      </c>
      <c r="U54" s="2"/>
      <c r="V54" s="6">
        <f t="shared" si="13"/>
        <v>0</v>
      </c>
      <c r="W54" s="2"/>
      <c r="X54" s="2">
        <f t="shared" si="14"/>
        <v>-2625</v>
      </c>
      <c r="Y54" s="2"/>
      <c r="Z54" s="6">
        <f t="shared" si="15"/>
        <v>-4.4117647058823532E-2</v>
      </c>
    </row>
    <row r="55" spans="1:26" s="70" customFormat="1" ht="15" hidden="1" customHeight="1" outlineLevel="2" x14ac:dyDescent="0.3">
      <c r="A55" s="26"/>
      <c r="B55" s="12" t="str">
        <f>CONCATENATE("          ","6331"," - ","INDIRECT COSTS-AUXILIARY ORGAN")</f>
        <v xml:space="preserve">          6331 - INDIRECT COSTS-AUXILIARY ORGAN</v>
      </c>
      <c r="C55" s="12"/>
      <c r="D55" s="7"/>
      <c r="E55" s="3"/>
      <c r="F55" s="8">
        <f t="shared" si="8"/>
        <v>0</v>
      </c>
      <c r="G55" s="3"/>
      <c r="H55" s="7"/>
      <c r="I55" s="3"/>
      <c r="J55" s="8">
        <f t="shared" si="9"/>
        <v>0</v>
      </c>
      <c r="K55" s="3"/>
      <c r="L55" s="7">
        <f t="shared" si="10"/>
        <v>0</v>
      </c>
      <c r="M55" s="3"/>
      <c r="N55" s="8">
        <f t="shared" si="11"/>
        <v>0</v>
      </c>
      <c r="O55" s="12"/>
      <c r="P55" s="7">
        <v>48350</v>
      </c>
      <c r="Q55" s="3"/>
      <c r="R55" s="8">
        <f t="shared" si="12"/>
        <v>0</v>
      </c>
      <c r="S55" s="3"/>
      <c r="T55" s="7">
        <v>51000</v>
      </c>
      <c r="U55" s="3"/>
      <c r="V55" s="8">
        <f t="shared" si="13"/>
        <v>0</v>
      </c>
      <c r="W55" s="3"/>
      <c r="X55" s="7">
        <f t="shared" si="14"/>
        <v>-2650</v>
      </c>
      <c r="Y55" s="3"/>
      <c r="Z55" s="8">
        <f t="shared" si="15"/>
        <v>-5.1960784313725493E-2</v>
      </c>
    </row>
    <row r="56" spans="1:26" s="70" customFormat="1" ht="15" hidden="1" customHeight="1" outlineLevel="2" x14ac:dyDescent="0.3">
      <c r="A56" s="26"/>
      <c r="B56" s="12" t="str">
        <f>CONCATENATE("          ","6334"," - ","LEGAL COUNCIL EXPENSE")</f>
        <v xml:space="preserve">          6334 - LEGAL COUNCIL EXPENSE</v>
      </c>
      <c r="C56" s="12"/>
      <c r="D56" s="7"/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200</v>
      </c>
      <c r="Q56" s="3"/>
      <c r="R56" s="8">
        <f t="shared" si="12"/>
        <v>0</v>
      </c>
      <c r="S56" s="3"/>
      <c r="T56" s="7">
        <v>3500</v>
      </c>
      <c r="U56" s="3"/>
      <c r="V56" s="8">
        <f t="shared" si="13"/>
        <v>0</v>
      </c>
      <c r="W56" s="3"/>
      <c r="X56" s="7">
        <f t="shared" si="14"/>
        <v>-3300</v>
      </c>
      <c r="Y56" s="3"/>
      <c r="Z56" s="8">
        <f t="shared" si="15"/>
        <v>-0.94285714285714284</v>
      </c>
    </row>
    <row r="57" spans="1:26" s="70" customFormat="1" ht="15" hidden="1" customHeight="1" outlineLevel="2" x14ac:dyDescent="0.3">
      <c r="A57" s="26"/>
      <c r="B57" s="12" t="str">
        <f>CONCATENATE("          ","6336"," - ","PROFESSIONAL SERVICES")</f>
        <v xml:space="preserve">          6336 - PROFESSIONAL SERVICES</v>
      </c>
      <c r="C57" s="12"/>
      <c r="D57" s="7"/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0</v>
      </c>
      <c r="M57" s="3"/>
      <c r="N57" s="8">
        <f t="shared" si="11"/>
        <v>0</v>
      </c>
      <c r="O57" s="12"/>
      <c r="P57" s="7">
        <v>8325</v>
      </c>
      <c r="Q57" s="3"/>
      <c r="R57" s="8">
        <f t="shared" si="12"/>
        <v>0</v>
      </c>
      <c r="S57" s="3"/>
      <c r="T57" s="7">
        <v>5000</v>
      </c>
      <c r="U57" s="3"/>
      <c r="V57" s="8">
        <f t="shared" si="13"/>
        <v>0</v>
      </c>
      <c r="W57" s="3"/>
      <c r="X57" s="7">
        <f t="shared" si="14"/>
        <v>3325</v>
      </c>
      <c r="Y57" s="3"/>
      <c r="Z57" s="8">
        <f t="shared" si="15"/>
        <v>0.66500000000000004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SUM(OSRRefD22_10x_0)</f>
        <v>2643.22</v>
      </c>
      <c r="E58" s="2"/>
      <c r="F58" s="6">
        <f t="shared" si="8"/>
        <v>0</v>
      </c>
      <c r="G58" s="2"/>
      <c r="H58" s="2">
        <f>SUM(OSRRefH22_10x_0)</f>
        <v>1530</v>
      </c>
      <c r="I58" s="2"/>
      <c r="J58" s="6">
        <f t="shared" si="9"/>
        <v>0</v>
      </c>
      <c r="K58" s="2"/>
      <c r="L58" s="2">
        <f t="shared" si="10"/>
        <v>1113.2199999999998</v>
      </c>
      <c r="M58" s="2"/>
      <c r="N58" s="6">
        <f t="shared" si="11"/>
        <v>0.72759477124182992</v>
      </c>
      <c r="O58" s="14"/>
      <c r="P58" s="2">
        <f>SUM(OSRRefP22_10x_0)</f>
        <v>28168.93</v>
      </c>
      <c r="Q58" s="2"/>
      <c r="R58" s="6">
        <f t="shared" si="12"/>
        <v>0</v>
      </c>
      <c r="S58" s="2"/>
      <c r="T58" s="2">
        <f>SUM(OSRRefT22_10x_0)</f>
        <v>15300</v>
      </c>
      <c r="U58" s="2"/>
      <c r="V58" s="6">
        <f t="shared" si="13"/>
        <v>0</v>
      </c>
      <c r="W58" s="2"/>
      <c r="X58" s="2">
        <f t="shared" si="14"/>
        <v>12868.93</v>
      </c>
      <c r="Y58" s="2"/>
      <c r="Z58" s="6">
        <f t="shared" si="15"/>
        <v>0.84110653594771245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7">
        <v>2643.22</v>
      </c>
      <c r="E59" s="3"/>
      <c r="F59" s="8">
        <f t="shared" si="8"/>
        <v>0</v>
      </c>
      <c r="G59" s="3"/>
      <c r="H59" s="7">
        <v>1530</v>
      </c>
      <c r="I59" s="3"/>
      <c r="J59" s="8">
        <f t="shared" si="9"/>
        <v>0</v>
      </c>
      <c r="K59" s="3"/>
      <c r="L59" s="7">
        <f t="shared" si="10"/>
        <v>1113.2199999999998</v>
      </c>
      <c r="M59" s="3"/>
      <c r="N59" s="8">
        <f t="shared" si="11"/>
        <v>0.72759477124182992</v>
      </c>
      <c r="O59" s="12"/>
      <c r="P59" s="7">
        <v>28070.94</v>
      </c>
      <c r="Q59" s="3"/>
      <c r="R59" s="8">
        <f t="shared" si="12"/>
        <v>0</v>
      </c>
      <c r="S59" s="3"/>
      <c r="T59" s="7">
        <v>15300</v>
      </c>
      <c r="U59" s="3"/>
      <c r="V59" s="8">
        <f t="shared" si="13"/>
        <v>0</v>
      </c>
      <c r="W59" s="3"/>
      <c r="X59" s="7">
        <f t="shared" si="14"/>
        <v>12770.939999999999</v>
      </c>
      <c r="Y59" s="3"/>
      <c r="Z59" s="8">
        <f t="shared" si="15"/>
        <v>0.83470196078431369</v>
      </c>
    </row>
    <row r="60" spans="1:26" s="70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97.99</v>
      </c>
      <c r="Q60" s="3"/>
      <c r="R60" s="8">
        <f t="shared" si="12"/>
        <v>0</v>
      </c>
      <c r="S60" s="3"/>
      <c r="T60" s="7"/>
      <c r="U60" s="3"/>
      <c r="V60" s="8">
        <f t="shared" si="13"/>
        <v>0</v>
      </c>
      <c r="W60" s="3"/>
      <c r="X60" s="7">
        <f t="shared" si="14"/>
        <v>97.99</v>
      </c>
      <c r="Y60" s="3"/>
      <c r="Z60" s="8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SUM(OSRRefD22_11x_0)</f>
        <v>3847</v>
      </c>
      <c r="E61" s="2"/>
      <c r="F61" s="6">
        <f t="shared" si="8"/>
        <v>0</v>
      </c>
      <c r="G61" s="2"/>
      <c r="H61" s="2">
        <f>SUM(OSRRefH22_11x_0)</f>
        <v>4668</v>
      </c>
      <c r="I61" s="2"/>
      <c r="J61" s="6">
        <f t="shared" si="9"/>
        <v>0</v>
      </c>
      <c r="K61" s="2"/>
      <c r="L61" s="2">
        <f t="shared" si="10"/>
        <v>-821</v>
      </c>
      <c r="M61" s="2"/>
      <c r="N61" s="6">
        <f t="shared" si="11"/>
        <v>-0.1758783204798629</v>
      </c>
      <c r="O61" s="14"/>
      <c r="P61" s="2">
        <f>SUM(OSRRefP22_11x_0)</f>
        <v>5622</v>
      </c>
      <c r="Q61" s="2"/>
      <c r="R61" s="6">
        <f t="shared" si="12"/>
        <v>0</v>
      </c>
      <c r="S61" s="2"/>
      <c r="T61" s="2">
        <f>SUM(OSRRefT22_11x_0)</f>
        <v>6643</v>
      </c>
      <c r="U61" s="2"/>
      <c r="V61" s="6">
        <f t="shared" si="13"/>
        <v>0</v>
      </c>
      <c r="W61" s="2"/>
      <c r="X61" s="2">
        <f t="shared" si="14"/>
        <v>-1021</v>
      </c>
      <c r="Y61" s="2"/>
      <c r="Z61" s="6">
        <f t="shared" si="15"/>
        <v>-0.15369561944904411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7">
        <v>3847</v>
      </c>
      <c r="E62" s="3"/>
      <c r="F62" s="8">
        <f t="shared" si="8"/>
        <v>0</v>
      </c>
      <c r="G62" s="3"/>
      <c r="H62" s="7">
        <v>4668</v>
      </c>
      <c r="I62" s="3"/>
      <c r="J62" s="8">
        <f t="shared" si="9"/>
        <v>0</v>
      </c>
      <c r="K62" s="3"/>
      <c r="L62" s="7">
        <f t="shared" si="10"/>
        <v>-821</v>
      </c>
      <c r="M62" s="3"/>
      <c r="N62" s="8">
        <f t="shared" si="11"/>
        <v>-0.1758783204798629</v>
      </c>
      <c r="O62" s="12"/>
      <c r="P62" s="7">
        <v>5622</v>
      </c>
      <c r="Q62" s="3"/>
      <c r="R62" s="8">
        <f t="shared" si="12"/>
        <v>0</v>
      </c>
      <c r="S62" s="3"/>
      <c r="T62" s="7">
        <v>6643</v>
      </c>
      <c r="U62" s="3"/>
      <c r="V62" s="8">
        <f t="shared" si="13"/>
        <v>0</v>
      </c>
      <c r="W62" s="3"/>
      <c r="X62" s="7">
        <f t="shared" si="14"/>
        <v>-1021</v>
      </c>
      <c r="Y62" s="3"/>
      <c r="Z62" s="8">
        <f t="shared" si="15"/>
        <v>-0.15369561944904411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SUM(OSRRefD22_12x_0)</f>
        <v>0</v>
      </c>
      <c r="E63" s="2"/>
      <c r="F63" s="6">
        <f t="shared" si="8"/>
        <v>0</v>
      </c>
      <c r="G63" s="2"/>
      <c r="H63" s="2">
        <f>SUM(OSRRefH22_12x_0)</f>
        <v>125</v>
      </c>
      <c r="I63" s="2"/>
      <c r="J63" s="6">
        <f t="shared" si="9"/>
        <v>0</v>
      </c>
      <c r="K63" s="2"/>
      <c r="L63" s="2">
        <f t="shared" si="10"/>
        <v>-125</v>
      </c>
      <c r="M63" s="2"/>
      <c r="N63" s="6">
        <f t="shared" si="11"/>
        <v>-1</v>
      </c>
      <c r="O63" s="14"/>
      <c r="P63" s="2">
        <f>SUM(OSRRefP22_12x_0)</f>
        <v>409.15</v>
      </c>
      <c r="Q63" s="2"/>
      <c r="R63" s="6">
        <f t="shared" si="12"/>
        <v>0</v>
      </c>
      <c r="S63" s="2"/>
      <c r="T63" s="2">
        <f>SUM(OSRRefT22_12x_0)</f>
        <v>1250</v>
      </c>
      <c r="U63" s="2"/>
      <c r="V63" s="6">
        <f t="shared" si="13"/>
        <v>0</v>
      </c>
      <c r="W63" s="2"/>
      <c r="X63" s="2">
        <f t="shared" si="14"/>
        <v>-840.85</v>
      </c>
      <c r="Y63" s="2"/>
      <c r="Z63" s="6">
        <f t="shared" si="15"/>
        <v>-0.67268000000000006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>
        <v>125</v>
      </c>
      <c r="I64" s="3"/>
      <c r="J64" s="8">
        <f t="shared" si="9"/>
        <v>0</v>
      </c>
      <c r="K64" s="3"/>
      <c r="L64" s="7">
        <f t="shared" si="10"/>
        <v>-125</v>
      </c>
      <c r="M64" s="3"/>
      <c r="N64" s="8">
        <f t="shared" si="11"/>
        <v>-1</v>
      </c>
      <c r="O64" s="12"/>
      <c r="P64" s="7"/>
      <c r="Q64" s="3"/>
      <c r="R64" s="8">
        <f t="shared" si="12"/>
        <v>0</v>
      </c>
      <c r="S64" s="3"/>
      <c r="T64" s="7">
        <v>1250</v>
      </c>
      <c r="U64" s="3"/>
      <c r="V64" s="8">
        <f t="shared" si="13"/>
        <v>0</v>
      </c>
      <c r="W64" s="3"/>
      <c r="X64" s="7">
        <f t="shared" si="14"/>
        <v>-1250</v>
      </c>
      <c r="Y64" s="3"/>
      <c r="Z64" s="8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409.15</v>
      </c>
      <c r="Q65" s="3"/>
      <c r="R65" s="8">
        <f t="shared" si="12"/>
        <v>0</v>
      </c>
      <c r="S65" s="3"/>
      <c r="T65" s="7"/>
      <c r="U65" s="3"/>
      <c r="V65" s="8">
        <f t="shared" si="13"/>
        <v>0</v>
      </c>
      <c r="W65" s="3"/>
      <c r="X65" s="7">
        <f t="shared" si="14"/>
        <v>409.15</v>
      </c>
      <c r="Y65" s="3"/>
      <c r="Z65" s="8">
        <f t="shared" si="15"/>
        <v>0</v>
      </c>
    </row>
    <row r="66" spans="1:26" s="69" customFormat="1" ht="15" customHeight="1" outlineLevel="1" collapsed="1" x14ac:dyDescent="0.3">
      <c r="A66" s="25"/>
      <c r="B66" s="14" t="str">
        <f>CONCATENATE("     ","Telephone/Data Lines                              ")</f>
        <v xml:space="preserve">     Telephone/Data Lines                              </v>
      </c>
      <c r="C66" s="14"/>
      <c r="D66" s="2">
        <f>SUM(OSRRefD22_13x_0)</f>
        <v>453.03</v>
      </c>
      <c r="E66" s="2"/>
      <c r="F66" s="6">
        <f t="shared" si="8"/>
        <v>0</v>
      </c>
      <c r="G66" s="2"/>
      <c r="H66" s="2">
        <f>SUM(OSRRefH22_13x_0)</f>
        <v>425</v>
      </c>
      <c r="I66" s="2"/>
      <c r="J66" s="6">
        <f t="shared" si="9"/>
        <v>0</v>
      </c>
      <c r="K66" s="2"/>
      <c r="L66" s="2">
        <f t="shared" si="10"/>
        <v>28.029999999999973</v>
      </c>
      <c r="M66" s="2"/>
      <c r="N66" s="6">
        <f t="shared" si="11"/>
        <v>6.595294117647052E-2</v>
      </c>
      <c r="O66" s="14"/>
      <c r="P66" s="2">
        <f>SUM(OSRRefP22_13x_0)</f>
        <v>4417.91</v>
      </c>
      <c r="Q66" s="2"/>
      <c r="R66" s="6">
        <f t="shared" si="12"/>
        <v>0</v>
      </c>
      <c r="S66" s="2"/>
      <c r="T66" s="2">
        <f>SUM(OSRRefT22_13x_0)</f>
        <v>4250</v>
      </c>
      <c r="U66" s="2"/>
      <c r="V66" s="6">
        <f t="shared" si="13"/>
        <v>0</v>
      </c>
      <c r="W66" s="2"/>
      <c r="X66" s="2">
        <f t="shared" si="14"/>
        <v>167.90999999999985</v>
      </c>
      <c r="Y66" s="2"/>
      <c r="Z66" s="6">
        <f t="shared" si="15"/>
        <v>3.9508235294117615E-2</v>
      </c>
    </row>
    <row r="67" spans="1:26" s="70" customFormat="1" ht="15" hidden="1" customHeight="1" outlineLevel="2" x14ac:dyDescent="0.3">
      <c r="A67" s="26"/>
      <c r="B67" s="12" t="str">
        <f>CONCATENATE("          ","6309"," - ","TELEPHONE")</f>
        <v xml:space="preserve">          6309 - TELEPHONE</v>
      </c>
      <c r="C67" s="12"/>
      <c r="D67" s="7">
        <v>453.03</v>
      </c>
      <c r="E67" s="3"/>
      <c r="F67" s="8">
        <f t="shared" si="8"/>
        <v>0</v>
      </c>
      <c r="G67" s="3"/>
      <c r="H67" s="7">
        <v>425</v>
      </c>
      <c r="I67" s="3"/>
      <c r="J67" s="8">
        <f t="shared" si="9"/>
        <v>0</v>
      </c>
      <c r="K67" s="3"/>
      <c r="L67" s="7">
        <f t="shared" si="10"/>
        <v>28.029999999999973</v>
      </c>
      <c r="M67" s="3"/>
      <c r="N67" s="8">
        <f t="shared" si="11"/>
        <v>6.595294117647052E-2</v>
      </c>
      <c r="O67" s="12"/>
      <c r="P67" s="7">
        <v>4417.91</v>
      </c>
      <c r="Q67" s="3"/>
      <c r="R67" s="8">
        <f t="shared" si="12"/>
        <v>0</v>
      </c>
      <c r="S67" s="3"/>
      <c r="T67" s="7">
        <v>4250</v>
      </c>
      <c r="U67" s="3"/>
      <c r="V67" s="8">
        <f t="shared" si="13"/>
        <v>0</v>
      </c>
      <c r="W67" s="3"/>
      <c r="X67" s="7">
        <f t="shared" si="14"/>
        <v>167.90999999999985</v>
      </c>
      <c r="Y67" s="3"/>
      <c r="Z67" s="8">
        <f t="shared" si="15"/>
        <v>3.9508235294117615E-2</v>
      </c>
    </row>
    <row r="68" spans="1:26" s="69" customFormat="1" ht="15" customHeight="1" outlineLevel="1" collapsed="1" x14ac:dyDescent="0.3">
      <c r="A68" s="25"/>
      <c r="B68" s="14" t="str">
        <f>CONCATENATE("     ","Training                                          ")</f>
        <v xml:space="preserve">     Training                                          </v>
      </c>
      <c r="C68" s="14"/>
      <c r="D68" s="2">
        <f>SUM(OSRRefD22_14x_0)</f>
        <v>0</v>
      </c>
      <c r="E68" s="2"/>
      <c r="F68" s="6">
        <f t="shared" si="8"/>
        <v>0</v>
      </c>
      <c r="G68" s="2"/>
      <c r="H68" s="2">
        <f>SUM(OSRRefH22_14x_0)</f>
        <v>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0</v>
      </c>
      <c r="Q68" s="2"/>
      <c r="R68" s="6">
        <f t="shared" si="12"/>
        <v>0</v>
      </c>
      <c r="S68" s="2"/>
      <c r="T68" s="2">
        <f>SUM(OSRRefT22_14x_0)</f>
        <v>4050</v>
      </c>
      <c r="U68" s="2"/>
      <c r="V68" s="6">
        <f t="shared" si="13"/>
        <v>0</v>
      </c>
      <c r="W68" s="2"/>
      <c r="X68" s="2">
        <f t="shared" si="14"/>
        <v>-4050</v>
      </c>
      <c r="Y68" s="2"/>
      <c r="Z68" s="6">
        <f t="shared" si="15"/>
        <v>-1</v>
      </c>
    </row>
    <row r="69" spans="1:26" s="70" customFormat="1" ht="15" hidden="1" customHeight="1" outlineLevel="2" x14ac:dyDescent="0.3">
      <c r="A69" s="26"/>
      <c r="B69" s="12" t="str">
        <f>CONCATENATE("          ","6376"," - ","TRAINING")</f>
        <v xml:space="preserve">          6376 - TRAINING</v>
      </c>
      <c r="C69" s="12"/>
      <c r="D69" s="7"/>
      <c r="E69" s="3"/>
      <c r="F69" s="8">
        <f t="shared" si="8"/>
        <v>0</v>
      </c>
      <c r="G69" s="3"/>
      <c r="H69" s="7"/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0</v>
      </c>
      <c r="Q69" s="3"/>
      <c r="R69" s="8">
        <f t="shared" si="12"/>
        <v>0</v>
      </c>
      <c r="S69" s="3"/>
      <c r="T69" s="7">
        <v>4050</v>
      </c>
      <c r="U69" s="3"/>
      <c r="V69" s="8">
        <f t="shared" si="13"/>
        <v>0</v>
      </c>
      <c r="W69" s="3"/>
      <c r="X69" s="7">
        <f t="shared" si="14"/>
        <v>-4050</v>
      </c>
      <c r="Y69" s="3"/>
      <c r="Z69" s="8">
        <f t="shared" si="15"/>
        <v>-1</v>
      </c>
    </row>
    <row r="70" spans="1:26" s="69" customFormat="1" ht="15" customHeight="1" outlineLevel="1" collapsed="1" x14ac:dyDescent="0.3">
      <c r="A70" s="25"/>
      <c r="B70" s="14" t="str">
        <f>CONCATENATE("     ","Travel                                            ")</f>
        <v xml:space="preserve">     Travel                                            </v>
      </c>
      <c r="C70" s="14"/>
      <c r="D70" s="2">
        <f>SUM(OSRRefD22_15x_0)</f>
        <v>0</v>
      </c>
      <c r="E70" s="2"/>
      <c r="F70" s="6">
        <f t="shared" si="8"/>
        <v>0</v>
      </c>
      <c r="G70" s="2"/>
      <c r="H70" s="2">
        <f>SUM(OSRRefH22_15x_0)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SUM(OSRRefP22_15x_0)</f>
        <v>0</v>
      </c>
      <c r="Q70" s="2"/>
      <c r="R70" s="6">
        <f t="shared" si="12"/>
        <v>0</v>
      </c>
      <c r="S70" s="2"/>
      <c r="T70" s="2">
        <f>SUM(OSRRefT22_15x_0)</f>
        <v>1500</v>
      </c>
      <c r="U70" s="2"/>
      <c r="V70" s="6">
        <f t="shared" si="13"/>
        <v>0</v>
      </c>
      <c r="W70" s="2"/>
      <c r="X70" s="2">
        <f t="shared" si="14"/>
        <v>-1500</v>
      </c>
      <c r="Y70" s="2"/>
      <c r="Z70" s="6">
        <f t="shared" si="15"/>
        <v>-1</v>
      </c>
    </row>
    <row r="71" spans="1:26" s="70" customFormat="1" ht="15" hidden="1" customHeight="1" outlineLevel="2" x14ac:dyDescent="0.3">
      <c r="A71" s="26"/>
      <c r="B71" s="12" t="str">
        <f>CONCATENATE("          ","6294"," - ","TRAVEL OPERATIONAL")</f>
        <v xml:space="preserve">          6294 - TRAVEL OPERATIONAL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/>
      <c r="Q71" s="3"/>
      <c r="R71" s="8">
        <f t="shared" si="12"/>
        <v>0</v>
      </c>
      <c r="S71" s="3"/>
      <c r="T71" s="7">
        <v>1500</v>
      </c>
      <c r="U71" s="3"/>
      <c r="V71" s="8">
        <f t="shared" si="13"/>
        <v>0</v>
      </c>
      <c r="W71" s="3"/>
      <c r="X71" s="7">
        <f t="shared" si="14"/>
        <v>-1500</v>
      </c>
      <c r="Y71" s="3"/>
      <c r="Z71" s="8">
        <f t="shared" si="15"/>
        <v>-1</v>
      </c>
    </row>
    <row r="72" spans="1:26" s="65" customFormat="1" ht="15" customHeight="1" x14ac:dyDescent="0.3">
      <c r="A72" s="35"/>
      <c r="B72" s="35"/>
      <c r="C72" s="35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35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63" customFormat="1" ht="15" customHeight="1" x14ac:dyDescent="0.3">
      <c r="A73" s="11"/>
      <c r="B73" s="28" t="s">
        <v>291</v>
      </c>
      <c r="C73" s="11"/>
      <c r="D73" s="5">
        <f>SUM(0)</f>
        <v>0</v>
      </c>
      <c r="E73" s="5"/>
      <c r="F73" s="13">
        <f>IF(D$12=0,0,D73/D$12)</f>
        <v>0</v>
      </c>
      <c r="G73" s="5"/>
      <c r="H73" s="5">
        <f>SUM(0)</f>
        <v>0</v>
      </c>
      <c r="I73" s="5"/>
      <c r="J73" s="13">
        <f>IF(H$12=0,0,H73/H$12)</f>
        <v>0</v>
      </c>
      <c r="K73" s="5"/>
      <c r="L73" s="5">
        <f>+D73-H73</f>
        <v>0</v>
      </c>
      <c r="M73" s="5"/>
      <c r="N73" s="13">
        <f>IF(H73=0,0,L73/H73)</f>
        <v>0</v>
      </c>
      <c r="O73" s="11"/>
      <c r="P73" s="5">
        <f>SUM(0)</f>
        <v>0</v>
      </c>
      <c r="Q73" s="5"/>
      <c r="R73" s="13">
        <f>IF(P$12=0,0,P73/P$12)</f>
        <v>0</v>
      </c>
      <c r="S73" s="5"/>
      <c r="T73" s="5">
        <f>SUM(0)</f>
        <v>0</v>
      </c>
      <c r="U73" s="5"/>
      <c r="V73" s="13">
        <f>IF(T$12=0,0,T73/T$12)</f>
        <v>0</v>
      </c>
      <c r="W73" s="5"/>
      <c r="X73" s="5">
        <f>+P73-T73</f>
        <v>0</v>
      </c>
      <c r="Y73" s="5"/>
      <c r="Z73" s="13">
        <f>IF(T73=0,0,X73/T73)</f>
        <v>0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292</v>
      </c>
      <c r="C75" s="27"/>
      <c r="D75" s="21">
        <f>+D16-D18+D73</f>
        <v>-46916.970000000008</v>
      </c>
      <c r="E75" s="15"/>
      <c r="F75" s="23">
        <f>IF(D$12=0,0,D75/D$12)</f>
        <v>0</v>
      </c>
      <c r="G75" s="15"/>
      <c r="H75" s="21">
        <f>+H16-H18+H73</f>
        <v>-48590.47803846153</v>
      </c>
      <c r="I75" s="15"/>
      <c r="J75" s="23">
        <f>IF(H$12=0,0,H75/H$12)</f>
        <v>0</v>
      </c>
      <c r="K75" s="17"/>
      <c r="L75" s="21">
        <f>+D75-H75</f>
        <v>1673.5080384615212</v>
      </c>
      <c r="M75" s="17"/>
      <c r="N75" s="23">
        <f>IF(H75=0,0,L75/H75)</f>
        <v>-3.444106965024845E-2</v>
      </c>
      <c r="O75" s="28"/>
      <c r="P75" s="21">
        <f>+P16-P18+P73</f>
        <v>-487723.95999999996</v>
      </c>
      <c r="Q75" s="15"/>
      <c r="R75" s="23">
        <f>IF(P$12=0,0,P75/P$12)</f>
        <v>0</v>
      </c>
      <c r="S75" s="15"/>
      <c r="T75" s="21">
        <f>+T16-T18+T73</f>
        <v>-481236.77952692285</v>
      </c>
      <c r="U75" s="15"/>
      <c r="V75" s="23">
        <f>IF(T$12=0,0,T75/T$12)</f>
        <v>0</v>
      </c>
      <c r="W75" s="17"/>
      <c r="X75" s="21">
        <f>+P75-T75</f>
        <v>-6487.1804730771109</v>
      </c>
      <c r="Y75" s="17"/>
      <c r="Z75" s="23">
        <f>IF(T75=0,0,X75/T75)</f>
        <v>1.3480225845277865E-2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/>
      <c r="E77" s="5"/>
      <c r="F77" s="13">
        <f>IF(D$12=0,0,D77/D$12)</f>
        <v>0</v>
      </c>
      <c r="G77" s="5"/>
      <c r="H77" s="5"/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/>
      <c r="Q77" s="5"/>
      <c r="R77" s="13">
        <f>IF(P$12=0,0,P77/P$12)</f>
        <v>0</v>
      </c>
      <c r="S77" s="5"/>
      <c r="T77" s="5"/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7" t="s">
        <v>294</v>
      </c>
      <c r="C79" s="27"/>
      <c r="D79" s="29">
        <f>+D75-D77</f>
        <v>-46916.970000000008</v>
      </c>
      <c r="E79" s="15"/>
      <c r="F79" s="30">
        <f>IF(D$12=0,0,D79/D$12)</f>
        <v>0</v>
      </c>
      <c r="G79" s="15"/>
      <c r="H79" s="29">
        <f>+H75-H77</f>
        <v>-48590.47803846153</v>
      </c>
      <c r="I79" s="15"/>
      <c r="J79" s="30">
        <f>IF(H$12=0,0,H79/H$12)</f>
        <v>0</v>
      </c>
      <c r="K79" s="17"/>
      <c r="L79" s="29">
        <f>D79-H79</f>
        <v>1673.5080384615212</v>
      </c>
      <c r="M79" s="17"/>
      <c r="N79" s="30">
        <f>IF(H79=0,0,L79/H79)</f>
        <v>-3.444106965024845E-2</v>
      </c>
      <c r="O79" s="28"/>
      <c r="P79" s="29">
        <f>+P75-P77</f>
        <v>-487723.95999999996</v>
      </c>
      <c r="Q79" s="15"/>
      <c r="R79" s="30">
        <f>IF(P$12=0,0,P79/P$12)</f>
        <v>0</v>
      </c>
      <c r="S79" s="15"/>
      <c r="T79" s="29">
        <f>+T75-T77</f>
        <v>-481236.77952692285</v>
      </c>
      <c r="U79" s="15"/>
      <c r="V79" s="30">
        <f>IF(T$12=0,0,T79/T$12)</f>
        <v>0</v>
      </c>
      <c r="W79" s="17"/>
      <c r="X79" s="29">
        <f>P79-T79</f>
        <v>-6487.1804730771109</v>
      </c>
      <c r="Y79" s="17"/>
      <c r="Z79" s="30">
        <f>IF(T79=0,0,X79/T79)</f>
        <v>1.3480225845277865E-2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297</v>
      </c>
      <c r="C82" s="27"/>
      <c r="D82" s="32">
        <f>SUM(D79:D81)</f>
        <v>-46916.970000000008</v>
      </c>
      <c r="E82" s="15"/>
      <c r="F82" s="34">
        <f>IF(D$12=0,0,D82/D$12)</f>
        <v>0</v>
      </c>
      <c r="G82" s="15"/>
      <c r="H82" s="32">
        <f>SUM(H79:H81)</f>
        <v>-48590.47803846153</v>
      </c>
      <c r="I82" s="15"/>
      <c r="J82" s="34">
        <f>IF(H$12=0,0,H82/H$12)</f>
        <v>0</v>
      </c>
      <c r="K82" s="17"/>
      <c r="L82" s="32">
        <f>+D82-H82</f>
        <v>1673.5080384615212</v>
      </c>
      <c r="M82" s="17"/>
      <c r="N82" s="34">
        <f>IF(H82=0,0,L82/H82)</f>
        <v>-3.444106965024845E-2</v>
      </c>
      <c r="O82" s="28"/>
      <c r="P82" s="32">
        <f>SUM(P79:P81)</f>
        <v>-487723.95999999996</v>
      </c>
      <c r="Q82" s="15"/>
      <c r="R82" s="34">
        <f>IF(P$12=0,0,P82/P$12)</f>
        <v>0</v>
      </c>
      <c r="S82" s="15"/>
      <c r="T82" s="32">
        <f>SUM(T79:T81)</f>
        <v>-481236.77952692285</v>
      </c>
      <c r="U82" s="15"/>
      <c r="V82" s="34">
        <f>IF(T$12=0,0,T82/T$12)</f>
        <v>0</v>
      </c>
      <c r="W82" s="17"/>
      <c r="X82" s="32">
        <f>+P82-T82</f>
        <v>-6487.1804730771109</v>
      </c>
      <c r="Y82" s="17"/>
      <c r="Z82" s="34">
        <f>IF(T82=0,0,X82/T82)</f>
        <v>1.3480225845277865E-2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6">
        <v>44694.888552430559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0" t="s">
        <v>298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1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FB19-AB74-98DC-DC7E-933F3A13C6BC}">
  <sheetPr>
    <tabColor rgb="FF92D050"/>
    <outlinePr summaryBelow="0" summaryRight="0"/>
  </sheetPr>
  <dimension ref="A2:Z8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","202"," - ","Accounting")</f>
        <v>Department 202 - Accounting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41702.979999999996</v>
      </c>
      <c r="E18" s="22"/>
      <c r="F18" s="33">
        <f t="shared" ref="F18:F64" si="0">IF(D$12=0,0,D18/D$12)</f>
        <v>0</v>
      </c>
      <c r="G18" s="22"/>
      <c r="H18" s="22" cm="1">
        <f t="array" ref="H18">SUM(OSRRefH22x_0)</f>
        <v>44054.535630384591</v>
      </c>
      <c r="I18" s="22"/>
      <c r="J18" s="33">
        <f t="shared" ref="J18:J64" si="1">IF(H$12=0,0,H18/H$12)</f>
        <v>0</v>
      </c>
      <c r="K18" s="5"/>
      <c r="L18" s="22">
        <f t="shared" ref="L18:L64" si="2">+D18-H18</f>
        <v>-2351.5556303845951</v>
      </c>
      <c r="M18" s="5"/>
      <c r="N18" s="33">
        <f t="shared" ref="N18:N64" si="3">IF(H18=0,0,L18/H18)</f>
        <v>-5.337828663350426E-2</v>
      </c>
      <c r="O18" s="11"/>
      <c r="P18" s="22" cm="1">
        <f t="array" ref="P18">SUM(OSRRefP22x_0)</f>
        <v>450042.3</v>
      </c>
      <c r="Q18" s="22"/>
      <c r="R18" s="33">
        <f t="shared" ref="R18:R64" si="4">IF(P$12=0,0,P18/P$12)</f>
        <v>0</v>
      </c>
      <c r="S18" s="22"/>
      <c r="T18" s="22" cm="1">
        <f t="array" ref="T18">SUM(OSRRefT22x_0)</f>
        <v>436714.22970738413</v>
      </c>
      <c r="U18" s="22"/>
      <c r="V18" s="33">
        <f t="shared" ref="V18:V64" si="5">IF(T$12=0,0,T18/T$12)</f>
        <v>0</v>
      </c>
      <c r="W18" s="5"/>
      <c r="X18" s="22">
        <f t="shared" ref="X18:X64" si="6">+P18-T18</f>
        <v>13328.070292615856</v>
      </c>
      <c r="Y18" s="5"/>
      <c r="Z18" s="33">
        <f t="shared" ref="Z18:Z64" si="7">IF(T18=0,0,X18/T18)</f>
        <v>3.051897416199649E-2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15602.21</v>
      </c>
      <c r="E19" s="2"/>
      <c r="F19" s="6">
        <f t="shared" si="0"/>
        <v>0</v>
      </c>
      <c r="G19" s="2"/>
      <c r="H19" s="2">
        <f>SUM(OSRRefH22_0x_0)</f>
        <v>14247.8163996154</v>
      </c>
      <c r="I19" s="2"/>
      <c r="J19" s="6">
        <f t="shared" si="1"/>
        <v>0</v>
      </c>
      <c r="K19" s="2"/>
      <c r="L19" s="2">
        <f t="shared" si="2"/>
        <v>1354.3936003845993</v>
      </c>
      <c r="M19" s="2"/>
      <c r="N19" s="6">
        <f t="shared" si="3"/>
        <v>9.5059731428119701E-2</v>
      </c>
      <c r="O19" s="14"/>
      <c r="P19" s="2">
        <f>SUM(OSRRefP22_0x_0)</f>
        <v>139301.28999999998</v>
      </c>
      <c r="Q19" s="2"/>
      <c r="R19" s="6">
        <f t="shared" si="4"/>
        <v>0</v>
      </c>
      <c r="S19" s="2"/>
      <c r="T19" s="2">
        <f>SUM(OSRRefT22_0x_0)</f>
        <v>133355.10047661548</v>
      </c>
      <c r="U19" s="2"/>
      <c r="V19" s="6">
        <f t="shared" si="5"/>
        <v>0</v>
      </c>
      <c r="W19" s="2"/>
      <c r="X19" s="2">
        <f t="shared" si="6"/>
        <v>5946.1895233844989</v>
      </c>
      <c r="Y19" s="2"/>
      <c r="Z19" s="6">
        <f t="shared" si="7"/>
        <v>4.4589142088548722E-2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2545.5</v>
      </c>
      <c r="E20" s="3"/>
      <c r="F20" s="8">
        <f t="shared" si="0"/>
        <v>0</v>
      </c>
      <c r="G20" s="3"/>
      <c r="H20" s="7">
        <v>2092.2212919230801</v>
      </c>
      <c r="I20" s="3"/>
      <c r="J20" s="8">
        <f t="shared" si="1"/>
        <v>0</v>
      </c>
      <c r="K20" s="3"/>
      <c r="L20" s="7">
        <f t="shared" si="2"/>
        <v>453.27870807691988</v>
      </c>
      <c r="M20" s="3"/>
      <c r="N20" s="8">
        <f t="shared" si="3"/>
        <v>0.2166495053973404</v>
      </c>
      <c r="O20" s="12"/>
      <c r="P20" s="7">
        <v>18366.98</v>
      </c>
      <c r="Q20" s="3"/>
      <c r="R20" s="8">
        <f t="shared" si="4"/>
        <v>0</v>
      </c>
      <c r="S20" s="3"/>
      <c r="T20" s="7">
        <v>18411.5473689231</v>
      </c>
      <c r="U20" s="3"/>
      <c r="V20" s="8">
        <f t="shared" si="5"/>
        <v>0</v>
      </c>
      <c r="W20" s="3"/>
      <c r="X20" s="7">
        <f t="shared" si="6"/>
        <v>-44.56736892310073</v>
      </c>
      <c r="Y20" s="3"/>
      <c r="Z20" s="8">
        <f t="shared" si="7"/>
        <v>-2.4206204959353991E-3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290.18</v>
      </c>
      <c r="E21" s="3"/>
      <c r="F21" s="8">
        <f t="shared" si="0"/>
        <v>0</v>
      </c>
      <c r="G21" s="3"/>
      <c r="H21" s="7">
        <v>94.037188461538506</v>
      </c>
      <c r="I21" s="3"/>
      <c r="J21" s="8">
        <f t="shared" si="1"/>
        <v>0</v>
      </c>
      <c r="K21" s="3"/>
      <c r="L21" s="7">
        <f t="shared" si="2"/>
        <v>196.1428115384615</v>
      </c>
      <c r="M21" s="3"/>
      <c r="N21" s="8">
        <f t="shared" si="3"/>
        <v>2.0858004662557996</v>
      </c>
      <c r="O21" s="12"/>
      <c r="P21" s="7">
        <v>3002.8</v>
      </c>
      <c r="Q21" s="3"/>
      <c r="R21" s="8">
        <f t="shared" si="4"/>
        <v>0</v>
      </c>
      <c r="S21" s="3"/>
      <c r="T21" s="7">
        <v>808.74373846153901</v>
      </c>
      <c r="U21" s="3"/>
      <c r="V21" s="8">
        <f t="shared" si="5"/>
        <v>0</v>
      </c>
      <c r="W21" s="3"/>
      <c r="X21" s="7">
        <f t="shared" si="6"/>
        <v>2194.0562615384611</v>
      </c>
      <c r="Y21" s="3"/>
      <c r="Z21" s="8">
        <f t="shared" si="7"/>
        <v>2.7129190090697719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5721.83</v>
      </c>
      <c r="E22" s="3"/>
      <c r="F22" s="8">
        <f t="shared" si="0"/>
        <v>0</v>
      </c>
      <c r="G22" s="3"/>
      <c r="H22" s="7">
        <v>6123</v>
      </c>
      <c r="I22" s="3"/>
      <c r="J22" s="8">
        <f t="shared" si="1"/>
        <v>0</v>
      </c>
      <c r="K22" s="3"/>
      <c r="L22" s="7">
        <f t="shared" si="2"/>
        <v>-401.17000000000007</v>
      </c>
      <c r="M22" s="3"/>
      <c r="N22" s="8">
        <f t="shared" si="3"/>
        <v>-6.5518536665033489E-2</v>
      </c>
      <c r="O22" s="12"/>
      <c r="P22" s="7">
        <v>60262.28</v>
      </c>
      <c r="Q22" s="3"/>
      <c r="R22" s="8">
        <f t="shared" si="4"/>
        <v>0</v>
      </c>
      <c r="S22" s="3"/>
      <c r="T22" s="7">
        <v>61230</v>
      </c>
      <c r="U22" s="3"/>
      <c r="V22" s="8">
        <f t="shared" si="5"/>
        <v>0</v>
      </c>
      <c r="W22" s="3"/>
      <c r="X22" s="7">
        <f t="shared" si="6"/>
        <v>-967.72000000000116</v>
      </c>
      <c r="Y22" s="3"/>
      <c r="Z22" s="8">
        <f t="shared" si="7"/>
        <v>-1.5804670912951187E-2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58.49</v>
      </c>
      <c r="E23" s="3"/>
      <c r="F23" s="8">
        <f t="shared" si="0"/>
        <v>0</v>
      </c>
      <c r="G23" s="3"/>
      <c r="H23" s="7">
        <v>63.702611538461497</v>
      </c>
      <c r="I23" s="3"/>
      <c r="J23" s="8">
        <f t="shared" si="1"/>
        <v>0</v>
      </c>
      <c r="K23" s="3"/>
      <c r="L23" s="7">
        <f t="shared" si="2"/>
        <v>-5.2126115384614948</v>
      </c>
      <c r="M23" s="3"/>
      <c r="N23" s="8">
        <f t="shared" si="3"/>
        <v>-8.1827281685528622E-2</v>
      </c>
      <c r="O23" s="12"/>
      <c r="P23" s="7">
        <v>605.22</v>
      </c>
      <c r="Q23" s="3"/>
      <c r="R23" s="8">
        <f t="shared" si="4"/>
        <v>0</v>
      </c>
      <c r="S23" s="3"/>
      <c r="T23" s="7">
        <v>547.85866153846098</v>
      </c>
      <c r="U23" s="3"/>
      <c r="V23" s="8">
        <f t="shared" si="5"/>
        <v>0</v>
      </c>
      <c r="W23" s="3"/>
      <c r="X23" s="7">
        <f t="shared" si="6"/>
        <v>57.361338461539049</v>
      </c>
      <c r="Y23" s="3"/>
      <c r="Z23" s="8">
        <f t="shared" si="7"/>
        <v>0.10470097944688997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2787.33</v>
      </c>
      <c r="E24" s="3"/>
      <c r="F24" s="8">
        <f t="shared" si="0"/>
        <v>0</v>
      </c>
      <c r="G24" s="3"/>
      <c r="H24" s="7">
        <v>2351.11761538462</v>
      </c>
      <c r="I24" s="3"/>
      <c r="J24" s="8">
        <f t="shared" si="1"/>
        <v>0</v>
      </c>
      <c r="K24" s="3"/>
      <c r="L24" s="7">
        <f t="shared" si="2"/>
        <v>436.21238461537996</v>
      </c>
      <c r="M24" s="3"/>
      <c r="N24" s="8">
        <f t="shared" si="3"/>
        <v>0.18553405485161995</v>
      </c>
      <c r="O24" s="12"/>
      <c r="P24" s="7">
        <v>21682</v>
      </c>
      <c r="Q24" s="3"/>
      <c r="R24" s="8">
        <f t="shared" si="4"/>
        <v>0</v>
      </c>
      <c r="S24" s="3"/>
      <c r="T24" s="7">
        <v>20689.8350153846</v>
      </c>
      <c r="U24" s="3"/>
      <c r="V24" s="8">
        <f t="shared" si="5"/>
        <v>0</v>
      </c>
      <c r="W24" s="3"/>
      <c r="X24" s="7">
        <f t="shared" si="6"/>
        <v>992.16498461539959</v>
      </c>
      <c r="Y24" s="3"/>
      <c r="Z24" s="8">
        <f t="shared" si="7"/>
        <v>4.7954224085288405E-2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2136.3000000000002</v>
      </c>
      <c r="E26" s="3"/>
      <c r="F26" s="8">
        <f t="shared" si="0"/>
        <v>0</v>
      </c>
      <c r="G26" s="3"/>
      <c r="H26" s="7">
        <v>1366.9288461538499</v>
      </c>
      <c r="I26" s="3"/>
      <c r="J26" s="8">
        <f t="shared" si="1"/>
        <v>0</v>
      </c>
      <c r="K26" s="3"/>
      <c r="L26" s="7">
        <f t="shared" si="2"/>
        <v>769.37115384615026</v>
      </c>
      <c r="M26" s="3"/>
      <c r="N26" s="8">
        <f t="shared" si="3"/>
        <v>0.56284652709681449</v>
      </c>
      <c r="O26" s="12"/>
      <c r="P26" s="7">
        <v>16425.73</v>
      </c>
      <c r="Q26" s="3"/>
      <c r="R26" s="8">
        <f t="shared" si="4"/>
        <v>0</v>
      </c>
      <c r="S26" s="3"/>
      <c r="T26" s="7">
        <v>12028.9738461539</v>
      </c>
      <c r="U26" s="3"/>
      <c r="V26" s="8">
        <f t="shared" si="5"/>
        <v>0</v>
      </c>
      <c r="W26" s="3"/>
      <c r="X26" s="7">
        <f t="shared" si="6"/>
        <v>4396.7561538460996</v>
      </c>
      <c r="Y26" s="3"/>
      <c r="Z26" s="8">
        <f t="shared" si="7"/>
        <v>0.36551381772701269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1527.87</v>
      </c>
      <c r="E27" s="3"/>
      <c r="F27" s="8">
        <f t="shared" si="0"/>
        <v>0</v>
      </c>
      <c r="G27" s="3"/>
      <c r="H27" s="7">
        <v>1456.80884615385</v>
      </c>
      <c r="I27" s="3"/>
      <c r="J27" s="8">
        <f t="shared" si="1"/>
        <v>0</v>
      </c>
      <c r="K27" s="3"/>
      <c r="L27" s="7">
        <f t="shared" si="2"/>
        <v>71.061153846149864</v>
      </c>
      <c r="M27" s="3"/>
      <c r="N27" s="8">
        <f t="shared" si="3"/>
        <v>4.8778639719109222E-2</v>
      </c>
      <c r="O27" s="12"/>
      <c r="P27" s="7">
        <v>13472.57</v>
      </c>
      <c r="Q27" s="3"/>
      <c r="R27" s="8">
        <f t="shared" si="4"/>
        <v>0</v>
      </c>
      <c r="S27" s="3"/>
      <c r="T27" s="7">
        <v>12638.1418461539</v>
      </c>
      <c r="U27" s="3"/>
      <c r="V27" s="8">
        <f t="shared" si="5"/>
        <v>0</v>
      </c>
      <c r="W27" s="3"/>
      <c r="X27" s="7">
        <f t="shared" si="6"/>
        <v>834.42815384610003</v>
      </c>
      <c r="Y27" s="3"/>
      <c r="Z27" s="8">
        <f t="shared" si="7"/>
        <v>6.602459158978638E-2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534.71</v>
      </c>
      <c r="E28" s="3"/>
      <c r="F28" s="8">
        <f t="shared" si="0"/>
        <v>0</v>
      </c>
      <c r="G28" s="3"/>
      <c r="H28" s="7">
        <v>700</v>
      </c>
      <c r="I28" s="3"/>
      <c r="J28" s="8">
        <f t="shared" si="1"/>
        <v>0</v>
      </c>
      <c r="K28" s="3"/>
      <c r="L28" s="7">
        <f t="shared" si="2"/>
        <v>-165.28999999999996</v>
      </c>
      <c r="M28" s="3"/>
      <c r="N28" s="8">
        <f t="shared" si="3"/>
        <v>-0.23612857142857138</v>
      </c>
      <c r="O28" s="12"/>
      <c r="P28" s="7">
        <v>5483.71</v>
      </c>
      <c r="Q28" s="3"/>
      <c r="R28" s="8">
        <f t="shared" si="4"/>
        <v>0</v>
      </c>
      <c r="S28" s="3"/>
      <c r="T28" s="7">
        <v>7000</v>
      </c>
      <c r="U28" s="3"/>
      <c r="V28" s="8">
        <f t="shared" si="5"/>
        <v>0</v>
      </c>
      <c r="W28" s="3"/>
      <c r="X28" s="7">
        <f t="shared" si="6"/>
        <v>-1516.29</v>
      </c>
      <c r="Y28" s="3"/>
      <c r="Z28" s="8">
        <f t="shared" si="7"/>
        <v>-0.21661285714285713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25263.84</v>
      </c>
      <c r="E29" s="2"/>
      <c r="F29" s="6">
        <f t="shared" si="0"/>
        <v>0</v>
      </c>
      <c r="G29" s="2"/>
      <c r="H29" s="2">
        <f>SUM(OSRRefH22_1x_0)</f>
        <v>27600.719230769188</v>
      </c>
      <c r="I29" s="2"/>
      <c r="J29" s="6">
        <f t="shared" si="1"/>
        <v>0</v>
      </c>
      <c r="K29" s="2"/>
      <c r="L29" s="2">
        <f t="shared" si="2"/>
        <v>-2336.8792307691874</v>
      </c>
      <c r="M29" s="2"/>
      <c r="N29" s="6">
        <f t="shared" si="3"/>
        <v>-8.4667330993463477E-2</v>
      </c>
      <c r="O29" s="14"/>
      <c r="P29" s="2">
        <f>SUM(OSRRefP22_1x_0)</f>
        <v>234405.38</v>
      </c>
      <c r="Q29" s="2"/>
      <c r="R29" s="6">
        <f t="shared" si="4"/>
        <v>0</v>
      </c>
      <c r="S29" s="2"/>
      <c r="T29" s="2">
        <f>SUM(OSRRefT22_1x_0)</f>
        <v>236827.12923076871</v>
      </c>
      <c r="U29" s="2"/>
      <c r="V29" s="6">
        <f t="shared" si="5"/>
        <v>0</v>
      </c>
      <c r="W29" s="2"/>
      <c r="X29" s="2">
        <f t="shared" si="6"/>
        <v>-2421.7492307687062</v>
      </c>
      <c r="Y29" s="2"/>
      <c r="Z29" s="6">
        <f t="shared" si="7"/>
        <v>-1.0225810018618725E-2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6977.4576923076902</v>
      </c>
      <c r="I30" s="3"/>
      <c r="J30" s="8">
        <f t="shared" si="1"/>
        <v>0</v>
      </c>
      <c r="K30" s="3"/>
      <c r="L30" s="7">
        <f t="shared" si="2"/>
        <v>-6977.4576923076902</v>
      </c>
      <c r="M30" s="3"/>
      <c r="N30" s="8">
        <f t="shared" si="3"/>
        <v>-1</v>
      </c>
      <c r="O30" s="12"/>
      <c r="P30" s="7"/>
      <c r="Q30" s="3"/>
      <c r="R30" s="8">
        <f t="shared" si="4"/>
        <v>0</v>
      </c>
      <c r="S30" s="3"/>
      <c r="T30" s="7">
        <v>61401.627692307702</v>
      </c>
      <c r="U30" s="3"/>
      <c r="V30" s="8">
        <f t="shared" si="5"/>
        <v>0</v>
      </c>
      <c r="W30" s="3"/>
      <c r="X30" s="7">
        <f t="shared" si="6"/>
        <v>-61401.627692307702</v>
      </c>
      <c r="Y30" s="3"/>
      <c r="Z30" s="8">
        <f t="shared" si="7"/>
        <v>-1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24822.799999999999</v>
      </c>
      <c r="E31" s="3"/>
      <c r="F31" s="8">
        <f t="shared" si="0"/>
        <v>0</v>
      </c>
      <c r="G31" s="3"/>
      <c r="H31" s="7">
        <v>17627.261538461498</v>
      </c>
      <c r="I31" s="3"/>
      <c r="J31" s="8">
        <f t="shared" si="1"/>
        <v>0</v>
      </c>
      <c r="K31" s="3"/>
      <c r="L31" s="7">
        <f t="shared" si="2"/>
        <v>7195.538461538501</v>
      </c>
      <c r="M31" s="3"/>
      <c r="N31" s="8">
        <f t="shared" si="3"/>
        <v>0.40820512283421451</v>
      </c>
      <c r="O31" s="12"/>
      <c r="P31" s="7">
        <v>230128.74</v>
      </c>
      <c r="Q31" s="3"/>
      <c r="R31" s="8">
        <f t="shared" si="4"/>
        <v>0</v>
      </c>
      <c r="S31" s="3"/>
      <c r="T31" s="7">
        <v>155119.90153846101</v>
      </c>
      <c r="U31" s="3"/>
      <c r="V31" s="8">
        <f t="shared" si="5"/>
        <v>0</v>
      </c>
      <c r="W31" s="3"/>
      <c r="X31" s="7">
        <f t="shared" si="6"/>
        <v>75008.83846153898</v>
      </c>
      <c r="Y31" s="3"/>
      <c r="Z31" s="8">
        <f t="shared" si="7"/>
        <v>0.48355393291002707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>
        <v>441.04</v>
      </c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441.04</v>
      </c>
      <c r="M36" s="3"/>
      <c r="N36" s="8">
        <f t="shared" si="3"/>
        <v>0</v>
      </c>
      <c r="O36" s="12"/>
      <c r="P36" s="7">
        <v>4276.6400000000003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4276.6400000000003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2996</v>
      </c>
      <c r="I37" s="3"/>
      <c r="J37" s="8">
        <f t="shared" si="1"/>
        <v>0</v>
      </c>
      <c r="K37" s="3"/>
      <c r="L37" s="7">
        <f t="shared" si="2"/>
        <v>-2996</v>
      </c>
      <c r="M37" s="3"/>
      <c r="N37" s="8">
        <f t="shared" si="3"/>
        <v>-1</v>
      </c>
      <c r="O37" s="12"/>
      <c r="P37" s="7"/>
      <c r="Q37" s="3"/>
      <c r="R37" s="8">
        <f t="shared" si="4"/>
        <v>0</v>
      </c>
      <c r="S37" s="3"/>
      <c r="T37" s="7">
        <v>20305.599999999999</v>
      </c>
      <c r="U37" s="3"/>
      <c r="V37" s="8">
        <f t="shared" si="5"/>
        <v>0</v>
      </c>
      <c r="W37" s="3"/>
      <c r="X37" s="7">
        <f t="shared" si="6"/>
        <v>-20305.599999999999</v>
      </c>
      <c r="Y37" s="3"/>
      <c r="Z37" s="8">
        <f t="shared" si="7"/>
        <v>-1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","Depreciation                                      ")</f>
        <v xml:space="preserve">     Depreciation  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12471</v>
      </c>
      <c r="Q40" s="2"/>
      <c r="R40" s="6">
        <f t="shared" si="4"/>
        <v>0</v>
      </c>
      <c r="S40" s="2"/>
      <c r="T40" s="2">
        <f>SUM(OSRRefT22_2x_0)</f>
        <v>12472</v>
      </c>
      <c r="U40" s="2"/>
      <c r="V40" s="6">
        <f t="shared" si="5"/>
        <v>0</v>
      </c>
      <c r="W40" s="2"/>
      <c r="X40" s="2">
        <f t="shared" si="6"/>
        <v>-1</v>
      </c>
      <c r="Y40" s="2"/>
      <c r="Z40" s="6">
        <f t="shared" si="7"/>
        <v>-8.0179602309172541E-5</v>
      </c>
    </row>
    <row r="41" spans="1:26" s="70" customFormat="1" ht="15" hidden="1" customHeight="1" outlineLevel="2" x14ac:dyDescent="0.3">
      <c r="A41" s="26"/>
      <c r="B41" s="12" t="str">
        <f>CONCATENATE("          ","6322"," - ","EQUIPMENT DEPRECIATION EXPENSE")</f>
        <v xml:space="preserve">          6322 - EQUIPMENT DEPRECIATION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12471</v>
      </c>
      <c r="Q41" s="3"/>
      <c r="R41" s="8">
        <f t="shared" si="4"/>
        <v>0</v>
      </c>
      <c r="S41" s="3"/>
      <c r="T41" s="7">
        <v>12472</v>
      </c>
      <c r="U41" s="3"/>
      <c r="V41" s="8">
        <f t="shared" si="5"/>
        <v>0</v>
      </c>
      <c r="W41" s="3"/>
      <c r="X41" s="7">
        <f t="shared" si="6"/>
        <v>-1</v>
      </c>
      <c r="Y41" s="3"/>
      <c r="Z41" s="8">
        <f t="shared" si="7"/>
        <v>-8.0179602309172541E-5</v>
      </c>
    </row>
    <row r="42" spans="1:26" s="69" customFormat="1" ht="15" customHeight="1" outlineLevel="1" collapsed="1" x14ac:dyDescent="0.3">
      <c r="A42" s="25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8.02</v>
      </c>
      <c r="Q42" s="2"/>
      <c r="R42" s="6">
        <f t="shared" si="4"/>
        <v>0</v>
      </c>
      <c r="S42" s="2"/>
      <c r="T42" s="2">
        <f>SUM(OSRRefT22_3x_0)</f>
        <v>0</v>
      </c>
      <c r="U42" s="2"/>
      <c r="V42" s="6">
        <f t="shared" si="5"/>
        <v>0</v>
      </c>
      <c r="W42" s="2"/>
      <c r="X42" s="2">
        <f t="shared" si="6"/>
        <v>8.02</v>
      </c>
      <c r="Y42" s="2"/>
      <c r="Z42" s="6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","6277"," - ","EMPLOYEE APPRECIATION")</f>
        <v xml:space="preserve">          6277 - EMPLOYEE APPRECIATION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>
        <v>8.02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8.02</v>
      </c>
      <c r="Y43" s="3"/>
      <c r="Z43" s="8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","Equipment Rental                                  ")</f>
        <v xml:space="preserve">     Equipment Rental                                  </v>
      </c>
      <c r="C44" s="14"/>
      <c r="D44" s="2">
        <f>SUM(OSRRefD22_4x_0)</f>
        <v>91.26</v>
      </c>
      <c r="E44" s="2"/>
      <c r="F44" s="6">
        <f t="shared" si="0"/>
        <v>0</v>
      </c>
      <c r="G44" s="2"/>
      <c r="H44" s="2">
        <f>SUM(OSRRefH22_4x_0)</f>
        <v>91</v>
      </c>
      <c r="I44" s="2"/>
      <c r="J44" s="6">
        <f t="shared" si="1"/>
        <v>0</v>
      </c>
      <c r="K44" s="2"/>
      <c r="L44" s="2">
        <f t="shared" si="2"/>
        <v>0.26000000000000512</v>
      </c>
      <c r="M44" s="2"/>
      <c r="N44" s="6">
        <f t="shared" si="3"/>
        <v>2.8571428571429135E-3</v>
      </c>
      <c r="O44" s="14"/>
      <c r="P44" s="2">
        <f>SUM(OSRRefP22_4x_0)</f>
        <v>912.6</v>
      </c>
      <c r="Q44" s="2"/>
      <c r="R44" s="6">
        <f t="shared" si="4"/>
        <v>0</v>
      </c>
      <c r="S44" s="2"/>
      <c r="T44" s="2">
        <f>SUM(OSRRefT22_4x_0)</f>
        <v>910</v>
      </c>
      <c r="U44" s="2"/>
      <c r="V44" s="6">
        <f t="shared" si="5"/>
        <v>0</v>
      </c>
      <c r="W44" s="2"/>
      <c r="X44" s="2">
        <f t="shared" si="6"/>
        <v>2.6000000000000227</v>
      </c>
      <c r="Y44" s="2"/>
      <c r="Z44" s="6">
        <f t="shared" si="7"/>
        <v>2.8571428571428823E-3</v>
      </c>
    </row>
    <row r="45" spans="1:26" s="70" customFormat="1" ht="15" hidden="1" customHeight="1" outlineLevel="2" x14ac:dyDescent="0.3">
      <c r="A45" s="26"/>
      <c r="B45" s="12" t="str">
        <f>CONCATENATE("          ","6351"," - ","EQUIPMENT RENTAL")</f>
        <v xml:space="preserve">          6351 - EQUIPMENT RENTAL</v>
      </c>
      <c r="C45" s="12"/>
      <c r="D45" s="7">
        <v>91.26</v>
      </c>
      <c r="E45" s="3"/>
      <c r="F45" s="8">
        <f t="shared" si="0"/>
        <v>0</v>
      </c>
      <c r="G45" s="3"/>
      <c r="H45" s="7">
        <v>91</v>
      </c>
      <c r="I45" s="3"/>
      <c r="J45" s="8">
        <f t="shared" si="1"/>
        <v>0</v>
      </c>
      <c r="K45" s="3"/>
      <c r="L45" s="7">
        <f t="shared" si="2"/>
        <v>0.26000000000000512</v>
      </c>
      <c r="M45" s="3"/>
      <c r="N45" s="8">
        <f t="shared" si="3"/>
        <v>2.8571428571429135E-3</v>
      </c>
      <c r="O45" s="12"/>
      <c r="P45" s="7">
        <v>912.6</v>
      </c>
      <c r="Q45" s="3"/>
      <c r="R45" s="8">
        <f t="shared" si="4"/>
        <v>0</v>
      </c>
      <c r="S45" s="3"/>
      <c r="T45" s="7">
        <v>910</v>
      </c>
      <c r="U45" s="3"/>
      <c r="V45" s="8">
        <f t="shared" si="5"/>
        <v>0</v>
      </c>
      <c r="W45" s="3"/>
      <c r="X45" s="7">
        <f t="shared" si="6"/>
        <v>2.6000000000000227</v>
      </c>
      <c r="Y45" s="3"/>
      <c r="Z45" s="8">
        <f t="shared" si="7"/>
        <v>2.8571428571428823E-3</v>
      </c>
    </row>
    <row r="46" spans="1:26" s="69" customFormat="1" ht="15" customHeight="1" outlineLevel="1" collapsed="1" x14ac:dyDescent="0.3">
      <c r="A46" s="25"/>
      <c r="B46" s="14" t="str">
        <f>CONCATENATE("     ","Freight out/Postage                               ")</f>
        <v xml:space="preserve">     Freight out/Postage                               </v>
      </c>
      <c r="C46" s="14"/>
      <c r="D46" s="2">
        <f>SUM(OSRRefD22_5x_0)</f>
        <v>128.11000000000001</v>
      </c>
      <c r="E46" s="2"/>
      <c r="F46" s="6">
        <f t="shared" si="0"/>
        <v>0</v>
      </c>
      <c r="G46" s="2"/>
      <c r="H46" s="2">
        <f>SUM(OSRRefH22_5x_0)</f>
        <v>100</v>
      </c>
      <c r="I46" s="2"/>
      <c r="J46" s="6">
        <f t="shared" si="1"/>
        <v>0</v>
      </c>
      <c r="K46" s="2"/>
      <c r="L46" s="2">
        <f t="shared" si="2"/>
        <v>28.110000000000014</v>
      </c>
      <c r="M46" s="2"/>
      <c r="N46" s="6">
        <f t="shared" si="3"/>
        <v>0.28110000000000013</v>
      </c>
      <c r="O46" s="14"/>
      <c r="P46" s="2">
        <f>SUM(OSRRefP22_5x_0)</f>
        <v>1385.73</v>
      </c>
      <c r="Q46" s="2"/>
      <c r="R46" s="6">
        <f t="shared" si="4"/>
        <v>0</v>
      </c>
      <c r="S46" s="2"/>
      <c r="T46" s="2">
        <f>SUM(OSRRefT22_5x_0)</f>
        <v>1000</v>
      </c>
      <c r="U46" s="2"/>
      <c r="V46" s="6">
        <f t="shared" si="5"/>
        <v>0</v>
      </c>
      <c r="W46" s="2"/>
      <c r="X46" s="2">
        <f t="shared" si="6"/>
        <v>385.73</v>
      </c>
      <c r="Y46" s="2"/>
      <c r="Z46" s="6">
        <f t="shared" si="7"/>
        <v>0.38573000000000002</v>
      </c>
    </row>
    <row r="47" spans="1:26" s="70" customFormat="1" ht="15" hidden="1" customHeight="1" outlineLevel="2" x14ac:dyDescent="0.3">
      <c r="A47" s="26"/>
      <c r="B47" s="12" t="str">
        <f>CONCATENATE("          ","6307"," - ","POSTAGE")</f>
        <v xml:space="preserve">          6307 - POSTAGE</v>
      </c>
      <c r="C47" s="12"/>
      <c r="D47" s="7">
        <v>128.11000000000001</v>
      </c>
      <c r="E47" s="3"/>
      <c r="F47" s="8">
        <f t="shared" si="0"/>
        <v>0</v>
      </c>
      <c r="G47" s="3"/>
      <c r="H47" s="7">
        <v>100</v>
      </c>
      <c r="I47" s="3"/>
      <c r="J47" s="8">
        <f t="shared" si="1"/>
        <v>0</v>
      </c>
      <c r="K47" s="3"/>
      <c r="L47" s="7">
        <f t="shared" si="2"/>
        <v>28.110000000000014</v>
      </c>
      <c r="M47" s="3"/>
      <c r="N47" s="8">
        <f t="shared" si="3"/>
        <v>0.28110000000000013</v>
      </c>
      <c r="O47" s="12"/>
      <c r="P47" s="7">
        <v>1385.73</v>
      </c>
      <c r="Q47" s="3"/>
      <c r="R47" s="8">
        <f t="shared" si="4"/>
        <v>0</v>
      </c>
      <c r="S47" s="3"/>
      <c r="T47" s="7">
        <v>1000</v>
      </c>
      <c r="U47" s="3"/>
      <c r="V47" s="8">
        <f t="shared" si="5"/>
        <v>0</v>
      </c>
      <c r="W47" s="3"/>
      <c r="X47" s="7">
        <f t="shared" si="6"/>
        <v>385.73</v>
      </c>
      <c r="Y47" s="3"/>
      <c r="Z47" s="8">
        <f t="shared" si="7"/>
        <v>0.38573000000000002</v>
      </c>
    </row>
    <row r="48" spans="1:26" s="69" customFormat="1" ht="15" customHeight="1" outlineLevel="1" collapsed="1" x14ac:dyDescent="0.3">
      <c r="A48" s="25"/>
      <c r="B48" s="14" t="str">
        <f>CONCATENATE("     ","Insurance                                         ")</f>
        <v xml:space="preserve">     Insurance                                         </v>
      </c>
      <c r="C48" s="14"/>
      <c r="D48" s="2">
        <f>SUM(OSRRefD22_6x_0)</f>
        <v>179.64</v>
      </c>
      <c r="E48" s="2"/>
      <c r="F48" s="6">
        <f t="shared" si="0"/>
        <v>0</v>
      </c>
      <c r="G48" s="2"/>
      <c r="H48" s="2">
        <f>SUM(OSRRefH22_6x_0)</f>
        <v>180</v>
      </c>
      <c r="I48" s="2"/>
      <c r="J48" s="6">
        <f t="shared" si="1"/>
        <v>0</v>
      </c>
      <c r="K48" s="2"/>
      <c r="L48" s="2">
        <f t="shared" si="2"/>
        <v>-0.36000000000001364</v>
      </c>
      <c r="M48" s="2"/>
      <c r="N48" s="6">
        <f t="shared" si="3"/>
        <v>-2.0000000000000759E-3</v>
      </c>
      <c r="O48" s="14"/>
      <c r="P48" s="2">
        <f>SUM(OSRRefP22_6x_0)</f>
        <v>1796.4</v>
      </c>
      <c r="Q48" s="2"/>
      <c r="R48" s="6">
        <f t="shared" si="4"/>
        <v>0</v>
      </c>
      <c r="S48" s="2"/>
      <c r="T48" s="2">
        <f>SUM(OSRRefT22_6x_0)</f>
        <v>1800</v>
      </c>
      <c r="U48" s="2"/>
      <c r="V48" s="6">
        <f t="shared" si="5"/>
        <v>0</v>
      </c>
      <c r="W48" s="2"/>
      <c r="X48" s="2">
        <f t="shared" si="6"/>
        <v>-3.5999999999999091</v>
      </c>
      <c r="Y48" s="2"/>
      <c r="Z48" s="6">
        <f t="shared" si="7"/>
        <v>-1.9999999999999493E-3</v>
      </c>
    </row>
    <row r="49" spans="1:26" s="70" customFormat="1" ht="15" hidden="1" customHeight="1" outlineLevel="2" x14ac:dyDescent="0.3">
      <c r="A49" s="26"/>
      <c r="B49" s="12" t="str">
        <f>CONCATENATE("          ","6314"," - ","LIABILITY INSURANCE")</f>
        <v xml:space="preserve">          6314 - LIABILITY INSURANCE</v>
      </c>
      <c r="C49" s="12"/>
      <c r="D49" s="7">
        <v>179.64</v>
      </c>
      <c r="E49" s="3"/>
      <c r="F49" s="8">
        <f t="shared" si="0"/>
        <v>0</v>
      </c>
      <c r="G49" s="3"/>
      <c r="H49" s="7">
        <v>180</v>
      </c>
      <c r="I49" s="3"/>
      <c r="J49" s="8">
        <f t="shared" si="1"/>
        <v>0</v>
      </c>
      <c r="K49" s="3"/>
      <c r="L49" s="7">
        <f t="shared" si="2"/>
        <v>-0.36000000000001364</v>
      </c>
      <c r="M49" s="3"/>
      <c r="N49" s="8">
        <f t="shared" si="3"/>
        <v>-2.0000000000000759E-3</v>
      </c>
      <c r="O49" s="12"/>
      <c r="P49" s="7">
        <v>1796.4</v>
      </c>
      <c r="Q49" s="3"/>
      <c r="R49" s="8">
        <f t="shared" si="4"/>
        <v>0</v>
      </c>
      <c r="S49" s="3"/>
      <c r="T49" s="7">
        <v>1800</v>
      </c>
      <c r="U49" s="3"/>
      <c r="V49" s="8">
        <f t="shared" si="5"/>
        <v>0</v>
      </c>
      <c r="W49" s="3"/>
      <c r="X49" s="7">
        <f t="shared" si="6"/>
        <v>-3.5999999999999091</v>
      </c>
      <c r="Y49" s="3"/>
      <c r="Z49" s="8">
        <f t="shared" si="7"/>
        <v>-1.9999999999999493E-3</v>
      </c>
    </row>
    <row r="50" spans="1:26" s="69" customFormat="1" ht="15" customHeight="1" outlineLevel="1" collapsed="1" x14ac:dyDescent="0.3">
      <c r="A50" s="25"/>
      <c r="B50" s="14" t="str">
        <f>CONCATENATE("     ","Repair and Maintenance                            ")</f>
        <v xml:space="preserve">     Repair and Maintenance                            </v>
      </c>
      <c r="C50" s="14"/>
      <c r="D50" s="2">
        <f>SUM(OSRRefD22_7x_0)</f>
        <v>72.320000000000007</v>
      </c>
      <c r="E50" s="2"/>
      <c r="F50" s="6">
        <f t="shared" si="0"/>
        <v>0</v>
      </c>
      <c r="G50" s="2"/>
      <c r="H50" s="2">
        <f>SUM(OSRRefH22_7x_0)</f>
        <v>710</v>
      </c>
      <c r="I50" s="2"/>
      <c r="J50" s="6">
        <f t="shared" si="1"/>
        <v>0</v>
      </c>
      <c r="K50" s="2"/>
      <c r="L50" s="2">
        <f t="shared" si="2"/>
        <v>-637.67999999999995</v>
      </c>
      <c r="M50" s="2"/>
      <c r="N50" s="6">
        <f t="shared" si="3"/>
        <v>-0.89814084507042247</v>
      </c>
      <c r="O50" s="14"/>
      <c r="P50" s="2">
        <f>SUM(OSRRefP22_7x_0)</f>
        <v>42548.17</v>
      </c>
      <c r="Q50" s="2"/>
      <c r="R50" s="6">
        <f t="shared" si="4"/>
        <v>0</v>
      </c>
      <c r="S50" s="2"/>
      <c r="T50" s="2">
        <f>SUM(OSRRefT22_7x_0)</f>
        <v>36100</v>
      </c>
      <c r="U50" s="2"/>
      <c r="V50" s="6">
        <f t="shared" si="5"/>
        <v>0</v>
      </c>
      <c r="W50" s="2"/>
      <c r="X50" s="2">
        <f t="shared" si="6"/>
        <v>6448.1699999999983</v>
      </c>
      <c r="Y50" s="2"/>
      <c r="Z50" s="6">
        <f t="shared" si="7"/>
        <v>0.17861966759002765</v>
      </c>
    </row>
    <row r="51" spans="1:26" s="70" customFormat="1" ht="15" hidden="1" customHeight="1" outlineLevel="2" x14ac:dyDescent="0.3">
      <c r="A51" s="26"/>
      <c r="B51" s="12" t="str">
        <f>CONCATENATE("          ","6371"," - ","COMPUTER SOFTWARE MAINTENANCE")</f>
        <v xml:space="preserve">          6371 - COMPUTER SOFTWARE MAINTENANCE</v>
      </c>
      <c r="C51" s="12"/>
      <c r="D51" s="7">
        <v>59.95</v>
      </c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59.95</v>
      </c>
      <c r="M51" s="3"/>
      <c r="N51" s="8">
        <f t="shared" si="3"/>
        <v>0</v>
      </c>
      <c r="O51" s="12"/>
      <c r="P51" s="7">
        <v>35728.370000000003</v>
      </c>
      <c r="Q51" s="3"/>
      <c r="R51" s="8">
        <f t="shared" si="4"/>
        <v>0</v>
      </c>
      <c r="S51" s="3"/>
      <c r="T51" s="7">
        <v>29000</v>
      </c>
      <c r="U51" s="3"/>
      <c r="V51" s="8">
        <f t="shared" si="5"/>
        <v>0</v>
      </c>
      <c r="W51" s="3"/>
      <c r="X51" s="7">
        <f t="shared" si="6"/>
        <v>6728.3700000000026</v>
      </c>
      <c r="Y51" s="3"/>
      <c r="Z51" s="8">
        <f t="shared" si="7"/>
        <v>0.23201275862068974</v>
      </c>
    </row>
    <row r="52" spans="1:26" s="70" customFormat="1" ht="15" hidden="1" customHeight="1" outlineLevel="2" x14ac:dyDescent="0.3">
      <c r="A52" s="26"/>
      <c r="B52" s="12" t="str">
        <f>CONCATENATE("          ","6373"," - ","MAINTENANCE CONTRACTS")</f>
        <v xml:space="preserve">          6373 - MAINTENANCE CONTRACTS</v>
      </c>
      <c r="C52" s="12"/>
      <c r="D52" s="7">
        <v>12.37</v>
      </c>
      <c r="E52" s="3"/>
      <c r="F52" s="8">
        <f t="shared" si="0"/>
        <v>0</v>
      </c>
      <c r="G52" s="3"/>
      <c r="H52" s="7">
        <v>560</v>
      </c>
      <c r="I52" s="3"/>
      <c r="J52" s="8">
        <f t="shared" si="1"/>
        <v>0</v>
      </c>
      <c r="K52" s="3"/>
      <c r="L52" s="7">
        <f t="shared" si="2"/>
        <v>-547.63</v>
      </c>
      <c r="M52" s="3"/>
      <c r="N52" s="8">
        <f t="shared" si="3"/>
        <v>-0.9779107142857143</v>
      </c>
      <c r="O52" s="12"/>
      <c r="P52" s="7">
        <v>5262.24</v>
      </c>
      <c r="Q52" s="3"/>
      <c r="R52" s="8">
        <f t="shared" si="4"/>
        <v>0</v>
      </c>
      <c r="S52" s="3"/>
      <c r="T52" s="7">
        <v>5600</v>
      </c>
      <c r="U52" s="3"/>
      <c r="V52" s="8">
        <f t="shared" si="5"/>
        <v>0</v>
      </c>
      <c r="W52" s="3"/>
      <c r="X52" s="7">
        <f t="shared" si="6"/>
        <v>-337.76000000000022</v>
      </c>
      <c r="Y52" s="3"/>
      <c r="Z52" s="8">
        <f t="shared" si="7"/>
        <v>-6.0314285714285751E-2</v>
      </c>
    </row>
    <row r="53" spans="1:26" s="70" customFormat="1" ht="15" hidden="1" customHeight="1" outlineLevel="2" x14ac:dyDescent="0.3">
      <c r="A53" s="26"/>
      <c r="B53" s="12" t="str">
        <f>CONCATENATE("          ","6375"," - ","OUTSIDE REPAIRS &amp; MAINTENANCE")</f>
        <v xml:space="preserve">          6375 - OUTSIDE REPAIRS &amp; MAINTENANCE</v>
      </c>
      <c r="C53" s="12"/>
      <c r="D53" s="7"/>
      <c r="E53" s="3"/>
      <c r="F53" s="8">
        <f t="shared" si="0"/>
        <v>0</v>
      </c>
      <c r="G53" s="3"/>
      <c r="H53" s="7">
        <v>150</v>
      </c>
      <c r="I53" s="3"/>
      <c r="J53" s="8">
        <f t="shared" si="1"/>
        <v>0</v>
      </c>
      <c r="K53" s="3"/>
      <c r="L53" s="7">
        <f t="shared" si="2"/>
        <v>-150</v>
      </c>
      <c r="M53" s="3"/>
      <c r="N53" s="8">
        <f t="shared" si="3"/>
        <v>-1</v>
      </c>
      <c r="O53" s="12"/>
      <c r="P53" s="7">
        <v>1557.56</v>
      </c>
      <c r="Q53" s="3"/>
      <c r="R53" s="8">
        <f t="shared" si="4"/>
        <v>0</v>
      </c>
      <c r="S53" s="3"/>
      <c r="T53" s="7">
        <v>1500</v>
      </c>
      <c r="U53" s="3"/>
      <c r="V53" s="8">
        <f t="shared" si="5"/>
        <v>0</v>
      </c>
      <c r="W53" s="3"/>
      <c r="X53" s="7">
        <f t="shared" si="6"/>
        <v>57.559999999999945</v>
      </c>
      <c r="Y53" s="3"/>
      <c r="Z53" s="8">
        <f t="shared" si="7"/>
        <v>3.8373333333333294E-2</v>
      </c>
    </row>
    <row r="54" spans="1:26" s="69" customFormat="1" ht="15" customHeight="1" outlineLevel="1" collapsed="1" x14ac:dyDescent="0.3">
      <c r="A54" s="25"/>
      <c r="B54" s="14" t="str">
        <f>CONCATENATE("     ","Services                                          ")</f>
        <v xml:space="preserve">     Services                                          </v>
      </c>
      <c r="C54" s="14"/>
      <c r="D54" s="2">
        <f>SUM(OSRRefD22_8x_0)</f>
        <v>0</v>
      </c>
      <c r="E54" s="2"/>
      <c r="F54" s="6">
        <f t="shared" si="0"/>
        <v>0</v>
      </c>
      <c r="G54" s="2"/>
      <c r="H54" s="2">
        <f>SUM(OSRRefH22_8x_0)</f>
        <v>625</v>
      </c>
      <c r="I54" s="2"/>
      <c r="J54" s="6">
        <f t="shared" si="1"/>
        <v>0</v>
      </c>
      <c r="K54" s="2"/>
      <c r="L54" s="2">
        <f t="shared" si="2"/>
        <v>-625</v>
      </c>
      <c r="M54" s="2"/>
      <c r="N54" s="6">
        <f t="shared" si="3"/>
        <v>-1</v>
      </c>
      <c r="O54" s="14"/>
      <c r="P54" s="2">
        <f>SUM(OSRRefP22_8x_0)</f>
        <v>8104.68</v>
      </c>
      <c r="Q54" s="2"/>
      <c r="R54" s="6">
        <f t="shared" si="4"/>
        <v>0</v>
      </c>
      <c r="S54" s="2"/>
      <c r="T54" s="2">
        <f>SUM(OSRRefT22_8x_0)</f>
        <v>6250</v>
      </c>
      <c r="U54" s="2"/>
      <c r="V54" s="6">
        <f t="shared" si="5"/>
        <v>0</v>
      </c>
      <c r="W54" s="2"/>
      <c r="X54" s="2">
        <f t="shared" si="6"/>
        <v>1854.6800000000003</v>
      </c>
      <c r="Y54" s="2"/>
      <c r="Z54" s="6">
        <f t="shared" si="7"/>
        <v>0.29674880000000003</v>
      </c>
    </row>
    <row r="55" spans="1:26" s="70" customFormat="1" ht="15" hidden="1" customHeight="1" outlineLevel="2" x14ac:dyDescent="0.3">
      <c r="A55" s="26"/>
      <c r="B55" s="12" t="str">
        <f>CONCATENATE("          ","6281"," - ","STORAGE FEE")</f>
        <v xml:space="preserve">          6281 - STORAGE FEE</v>
      </c>
      <c r="C55" s="12"/>
      <c r="D55" s="7"/>
      <c r="E55" s="3"/>
      <c r="F55" s="8">
        <f t="shared" si="0"/>
        <v>0</v>
      </c>
      <c r="G55" s="3"/>
      <c r="H55" s="7">
        <v>625</v>
      </c>
      <c r="I55" s="3"/>
      <c r="J55" s="8">
        <f t="shared" si="1"/>
        <v>0</v>
      </c>
      <c r="K55" s="3"/>
      <c r="L55" s="7">
        <f t="shared" si="2"/>
        <v>-625</v>
      </c>
      <c r="M55" s="3"/>
      <c r="N55" s="8">
        <f t="shared" si="3"/>
        <v>-1</v>
      </c>
      <c r="O55" s="12"/>
      <c r="P55" s="7">
        <v>8104.68</v>
      </c>
      <c r="Q55" s="3"/>
      <c r="R55" s="8">
        <f t="shared" si="4"/>
        <v>0</v>
      </c>
      <c r="S55" s="3"/>
      <c r="T55" s="7">
        <v>6250</v>
      </c>
      <c r="U55" s="3"/>
      <c r="V55" s="8">
        <f t="shared" si="5"/>
        <v>0</v>
      </c>
      <c r="W55" s="3"/>
      <c r="X55" s="7">
        <f t="shared" si="6"/>
        <v>1854.6800000000003</v>
      </c>
      <c r="Y55" s="3"/>
      <c r="Z55" s="8">
        <f t="shared" si="7"/>
        <v>0.29674880000000003</v>
      </c>
    </row>
    <row r="56" spans="1:26" s="69" customFormat="1" ht="15" customHeight="1" outlineLevel="1" collapsed="1" x14ac:dyDescent="0.3">
      <c r="A56" s="25"/>
      <c r="B56" s="14" t="str">
        <f>CONCATENATE("     ","Supplies                                          ")</f>
        <v xml:space="preserve">     Supplies                                          </v>
      </c>
      <c r="C56" s="14"/>
      <c r="D56" s="2">
        <f>SUM(OSRRefD22_9x_0)</f>
        <v>0</v>
      </c>
      <c r="E56" s="2"/>
      <c r="F56" s="6">
        <f t="shared" si="0"/>
        <v>0</v>
      </c>
      <c r="G56" s="2"/>
      <c r="H56" s="2">
        <f>SUM(OSRRefH22_9x_0)</f>
        <v>100</v>
      </c>
      <c r="I56" s="2"/>
      <c r="J56" s="6">
        <f t="shared" si="1"/>
        <v>0</v>
      </c>
      <c r="K56" s="2"/>
      <c r="L56" s="2">
        <f t="shared" si="2"/>
        <v>-100</v>
      </c>
      <c r="M56" s="2"/>
      <c r="N56" s="6">
        <f t="shared" si="3"/>
        <v>-1</v>
      </c>
      <c r="O56" s="14"/>
      <c r="P56" s="2">
        <f>SUM(OSRRefP22_9x_0)</f>
        <v>4391.3600000000006</v>
      </c>
      <c r="Q56" s="2"/>
      <c r="R56" s="6">
        <f t="shared" si="4"/>
        <v>0</v>
      </c>
      <c r="S56" s="2"/>
      <c r="T56" s="2">
        <f>SUM(OSRRefT22_9x_0)</f>
        <v>1000</v>
      </c>
      <c r="U56" s="2"/>
      <c r="V56" s="6">
        <f t="shared" si="5"/>
        <v>0</v>
      </c>
      <c r="W56" s="2"/>
      <c r="X56" s="2">
        <f t="shared" si="6"/>
        <v>3391.3600000000006</v>
      </c>
      <c r="Y56" s="2"/>
      <c r="Z56" s="6">
        <f t="shared" si="7"/>
        <v>3.3913600000000006</v>
      </c>
    </row>
    <row r="57" spans="1:26" s="70" customFormat="1" ht="15" hidden="1" customHeight="1" outlineLevel="2" x14ac:dyDescent="0.3">
      <c r="A57" s="26"/>
      <c r="B57" s="12" t="str">
        <f>CONCATENATE("          ","6234"," - ","EXPENDABLE SUPPLIES &amp; EQUIPMEN")</f>
        <v xml:space="preserve">          6234 - EXPENDABLE SUPPLIES &amp; EQUIPMEN</v>
      </c>
      <c r="C57" s="12"/>
      <c r="D57" s="7"/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0</v>
      </c>
      <c r="M57" s="3"/>
      <c r="N57" s="8">
        <f t="shared" si="3"/>
        <v>0</v>
      </c>
      <c r="O57" s="12"/>
      <c r="P57" s="7">
        <v>2481.17</v>
      </c>
      <c r="Q57" s="3"/>
      <c r="R57" s="8">
        <f t="shared" si="4"/>
        <v>0</v>
      </c>
      <c r="S57" s="3"/>
      <c r="T57" s="7"/>
      <c r="U57" s="3"/>
      <c r="V57" s="8">
        <f t="shared" si="5"/>
        <v>0</v>
      </c>
      <c r="W57" s="3"/>
      <c r="X57" s="7">
        <f t="shared" si="6"/>
        <v>2481.17</v>
      </c>
      <c r="Y57" s="3"/>
      <c r="Z57" s="8">
        <f t="shared" si="7"/>
        <v>0</v>
      </c>
    </row>
    <row r="58" spans="1:26" s="70" customFormat="1" ht="15" hidden="1" customHeight="1" outlineLevel="2" x14ac:dyDescent="0.3">
      <c r="A58" s="26"/>
      <c r="B58" s="12" t="str">
        <f>CONCATENATE("          ","6241"," - ","OFFICE EXPENSE")</f>
        <v xml:space="preserve">          6241 - OFFICE EXPENSE</v>
      </c>
      <c r="C58" s="12"/>
      <c r="D58" s="7"/>
      <c r="E58" s="3"/>
      <c r="F58" s="8">
        <f t="shared" si="0"/>
        <v>0</v>
      </c>
      <c r="G58" s="3"/>
      <c r="H58" s="7">
        <v>100</v>
      </c>
      <c r="I58" s="3"/>
      <c r="J58" s="8">
        <f t="shared" si="1"/>
        <v>0</v>
      </c>
      <c r="K58" s="3"/>
      <c r="L58" s="7">
        <f t="shared" si="2"/>
        <v>-100</v>
      </c>
      <c r="M58" s="3"/>
      <c r="N58" s="8">
        <f t="shared" si="3"/>
        <v>-1</v>
      </c>
      <c r="O58" s="12"/>
      <c r="P58" s="7">
        <v>1910.19</v>
      </c>
      <c r="Q58" s="3"/>
      <c r="R58" s="8">
        <f t="shared" si="4"/>
        <v>0</v>
      </c>
      <c r="S58" s="3"/>
      <c r="T58" s="7">
        <v>1000</v>
      </c>
      <c r="U58" s="3"/>
      <c r="V58" s="8">
        <f t="shared" si="5"/>
        <v>0</v>
      </c>
      <c r="W58" s="3"/>
      <c r="X58" s="7">
        <f t="shared" si="6"/>
        <v>910.19</v>
      </c>
      <c r="Y58" s="3"/>
      <c r="Z58" s="8">
        <f t="shared" si="7"/>
        <v>0.91019000000000005</v>
      </c>
    </row>
    <row r="59" spans="1:26" s="69" customFormat="1" ht="15" customHeight="1" outlineLevel="1" collapsed="1" x14ac:dyDescent="0.3">
      <c r="A59" s="25"/>
      <c r="B59" s="14" t="str">
        <f>CONCATENATE("     ","Telephone/Data Lines                              ")</f>
        <v xml:space="preserve">     Telephone/Data Lines                              </v>
      </c>
      <c r="C59" s="14"/>
      <c r="D59" s="2">
        <f>SUM(OSRRefD22_10x_0)</f>
        <v>365.6</v>
      </c>
      <c r="E59" s="2"/>
      <c r="F59" s="6">
        <f t="shared" si="0"/>
        <v>0</v>
      </c>
      <c r="G59" s="2"/>
      <c r="H59" s="2">
        <f>SUM(OSRRefH22_10x_0)</f>
        <v>400</v>
      </c>
      <c r="I59" s="2"/>
      <c r="J59" s="6">
        <f t="shared" si="1"/>
        <v>0</v>
      </c>
      <c r="K59" s="2"/>
      <c r="L59" s="2">
        <f t="shared" si="2"/>
        <v>-34.399999999999977</v>
      </c>
      <c r="M59" s="2"/>
      <c r="N59" s="6">
        <f t="shared" si="3"/>
        <v>-8.5999999999999938E-2</v>
      </c>
      <c r="O59" s="14"/>
      <c r="P59" s="2">
        <f>SUM(OSRRefP22_10x_0)</f>
        <v>4092.27</v>
      </c>
      <c r="Q59" s="2"/>
      <c r="R59" s="6">
        <f t="shared" si="4"/>
        <v>0</v>
      </c>
      <c r="S59" s="2"/>
      <c r="T59" s="2">
        <f>SUM(OSRRefT22_10x_0)</f>
        <v>4000</v>
      </c>
      <c r="U59" s="2"/>
      <c r="V59" s="6">
        <f t="shared" si="5"/>
        <v>0</v>
      </c>
      <c r="W59" s="2"/>
      <c r="X59" s="2">
        <f t="shared" si="6"/>
        <v>92.269999999999982</v>
      </c>
      <c r="Y59" s="2"/>
      <c r="Z59" s="6">
        <f t="shared" si="7"/>
        <v>2.3067499999999994E-2</v>
      </c>
    </row>
    <row r="60" spans="1:26" s="70" customFormat="1" ht="15" hidden="1" customHeight="1" outlineLevel="2" x14ac:dyDescent="0.3">
      <c r="A60" s="26"/>
      <c r="B60" s="12" t="str">
        <f>CONCATENATE("          ","6309"," - ","TELEPHONE")</f>
        <v xml:space="preserve">          6309 - TELEPHONE</v>
      </c>
      <c r="C60" s="12"/>
      <c r="D60" s="7">
        <v>365.6</v>
      </c>
      <c r="E60" s="3"/>
      <c r="F60" s="8">
        <f t="shared" si="0"/>
        <v>0</v>
      </c>
      <c r="G60" s="3"/>
      <c r="H60" s="7">
        <v>400</v>
      </c>
      <c r="I60" s="3"/>
      <c r="J60" s="8">
        <f t="shared" si="1"/>
        <v>0</v>
      </c>
      <c r="K60" s="3"/>
      <c r="L60" s="7">
        <f t="shared" si="2"/>
        <v>-34.399999999999977</v>
      </c>
      <c r="M60" s="3"/>
      <c r="N60" s="8">
        <f t="shared" si="3"/>
        <v>-8.5999999999999938E-2</v>
      </c>
      <c r="O60" s="12"/>
      <c r="P60" s="7">
        <v>4092.27</v>
      </c>
      <c r="Q60" s="3"/>
      <c r="R60" s="8">
        <f t="shared" si="4"/>
        <v>0</v>
      </c>
      <c r="S60" s="3"/>
      <c r="T60" s="7">
        <v>4000</v>
      </c>
      <c r="U60" s="3"/>
      <c r="V60" s="8">
        <f t="shared" si="5"/>
        <v>0</v>
      </c>
      <c r="W60" s="3"/>
      <c r="X60" s="7">
        <f t="shared" si="6"/>
        <v>92.269999999999982</v>
      </c>
      <c r="Y60" s="3"/>
      <c r="Z60" s="8">
        <f t="shared" si="7"/>
        <v>2.3067499999999994E-2</v>
      </c>
    </row>
    <row r="61" spans="1:26" s="69" customFormat="1" ht="15" customHeight="1" outlineLevel="1" collapsed="1" x14ac:dyDescent="0.3">
      <c r="A61" s="25"/>
      <c r="B61" s="14" t="str">
        <f>CONCATENATE("     ","Training                                          ")</f>
        <v xml:space="preserve">     Training                                          </v>
      </c>
      <c r="C61" s="14"/>
      <c r="D61" s="2">
        <f>SUM(OSRRefD22_11x_0)</f>
        <v>0</v>
      </c>
      <c r="E61" s="2"/>
      <c r="F61" s="6">
        <f t="shared" si="0"/>
        <v>0</v>
      </c>
      <c r="G61" s="2"/>
      <c r="H61" s="2">
        <f>SUM(OSRRefH22_11x_0)</f>
        <v>0</v>
      </c>
      <c r="I61" s="2"/>
      <c r="J61" s="6">
        <f t="shared" si="1"/>
        <v>0</v>
      </c>
      <c r="K61" s="2"/>
      <c r="L61" s="2">
        <f t="shared" si="2"/>
        <v>0</v>
      </c>
      <c r="M61" s="2"/>
      <c r="N61" s="6">
        <f t="shared" si="3"/>
        <v>0</v>
      </c>
      <c r="O61" s="14"/>
      <c r="P61" s="2">
        <f>SUM(OSRRefP22_11x_0)</f>
        <v>595</v>
      </c>
      <c r="Q61" s="2"/>
      <c r="R61" s="6">
        <f t="shared" si="4"/>
        <v>0</v>
      </c>
      <c r="S61" s="2"/>
      <c r="T61" s="2">
        <f>SUM(OSRRefT22_11x_0)</f>
        <v>3000</v>
      </c>
      <c r="U61" s="2"/>
      <c r="V61" s="6">
        <f t="shared" si="5"/>
        <v>0</v>
      </c>
      <c r="W61" s="2"/>
      <c r="X61" s="2">
        <f t="shared" si="6"/>
        <v>-2405</v>
      </c>
      <c r="Y61" s="2"/>
      <c r="Z61" s="6">
        <f t="shared" si="7"/>
        <v>-0.80166666666666664</v>
      </c>
    </row>
    <row r="62" spans="1:26" s="70" customFormat="1" ht="15" hidden="1" customHeight="1" outlineLevel="2" x14ac:dyDescent="0.3">
      <c r="A62" s="26"/>
      <c r="B62" s="12" t="str">
        <f>CONCATENATE("          ","6376"," - ","TRAINING")</f>
        <v xml:space="preserve">          6376 - TRAINING</v>
      </c>
      <c r="C62" s="12"/>
      <c r="D62" s="7"/>
      <c r="E62" s="3"/>
      <c r="F62" s="8">
        <f t="shared" si="0"/>
        <v>0</v>
      </c>
      <c r="G62" s="3"/>
      <c r="H62" s="7"/>
      <c r="I62" s="3"/>
      <c r="J62" s="8">
        <f t="shared" si="1"/>
        <v>0</v>
      </c>
      <c r="K62" s="3"/>
      <c r="L62" s="7">
        <f t="shared" si="2"/>
        <v>0</v>
      </c>
      <c r="M62" s="3"/>
      <c r="N62" s="8">
        <f t="shared" si="3"/>
        <v>0</v>
      </c>
      <c r="O62" s="12"/>
      <c r="P62" s="7">
        <v>595</v>
      </c>
      <c r="Q62" s="3"/>
      <c r="R62" s="8">
        <f t="shared" si="4"/>
        <v>0</v>
      </c>
      <c r="S62" s="3"/>
      <c r="T62" s="7">
        <v>3000</v>
      </c>
      <c r="U62" s="3"/>
      <c r="V62" s="8">
        <f t="shared" si="5"/>
        <v>0</v>
      </c>
      <c r="W62" s="3"/>
      <c r="X62" s="7">
        <f t="shared" si="6"/>
        <v>-2405</v>
      </c>
      <c r="Y62" s="3"/>
      <c r="Z62" s="8">
        <f t="shared" si="7"/>
        <v>-0.80166666666666664</v>
      </c>
    </row>
    <row r="63" spans="1:26" s="69" customFormat="1" ht="15" customHeight="1" outlineLevel="1" collapsed="1" x14ac:dyDescent="0.3">
      <c r="A63" s="25"/>
      <c r="B63" s="14" t="str">
        <f>CONCATENATE("     ","Travel                                            ")</f>
        <v xml:space="preserve">     Travel                                            </v>
      </c>
      <c r="C63" s="14"/>
      <c r="D63" s="2">
        <f>SUM(OSRRefD22_12x_0)</f>
        <v>0</v>
      </c>
      <c r="E63" s="2"/>
      <c r="F63" s="6">
        <f t="shared" si="0"/>
        <v>0</v>
      </c>
      <c r="G63" s="2"/>
      <c r="H63" s="2">
        <f>SUM(OSRRefH22_12x_0)</f>
        <v>0</v>
      </c>
      <c r="I63" s="2"/>
      <c r="J63" s="6">
        <f t="shared" si="1"/>
        <v>0</v>
      </c>
      <c r="K63" s="2"/>
      <c r="L63" s="2">
        <f t="shared" si="2"/>
        <v>0</v>
      </c>
      <c r="M63" s="2"/>
      <c r="N63" s="6">
        <f t="shared" si="3"/>
        <v>0</v>
      </c>
      <c r="O63" s="14"/>
      <c r="P63" s="2">
        <f>SUM(OSRRefP22_12x_0)</f>
        <v>30.4</v>
      </c>
      <c r="Q63" s="2"/>
      <c r="R63" s="6">
        <f t="shared" si="4"/>
        <v>0</v>
      </c>
      <c r="S63" s="2"/>
      <c r="T63" s="2">
        <f>SUM(OSRRefT22_12x_0)</f>
        <v>0</v>
      </c>
      <c r="U63" s="2"/>
      <c r="V63" s="6">
        <f t="shared" si="5"/>
        <v>0</v>
      </c>
      <c r="W63" s="2"/>
      <c r="X63" s="2">
        <f t="shared" si="6"/>
        <v>30.4</v>
      </c>
      <c r="Y63" s="2"/>
      <c r="Z63" s="6">
        <f t="shared" si="7"/>
        <v>0</v>
      </c>
    </row>
    <row r="64" spans="1:26" s="70" customFormat="1" ht="15" hidden="1" customHeight="1" outlineLevel="2" x14ac:dyDescent="0.3">
      <c r="A64" s="26"/>
      <c r="B64" s="12" t="str">
        <f>CONCATENATE("          ","6294"," - ","TRAVEL OPERATIONAL")</f>
        <v xml:space="preserve">          6294 - TRAVEL OPERATIONAL</v>
      </c>
      <c r="C64" s="12"/>
      <c r="D64" s="7"/>
      <c r="E64" s="3"/>
      <c r="F64" s="8">
        <f t="shared" si="0"/>
        <v>0</v>
      </c>
      <c r="G64" s="3"/>
      <c r="H64" s="7"/>
      <c r="I64" s="3"/>
      <c r="J64" s="8">
        <f t="shared" si="1"/>
        <v>0</v>
      </c>
      <c r="K64" s="3"/>
      <c r="L64" s="7">
        <f t="shared" si="2"/>
        <v>0</v>
      </c>
      <c r="M64" s="3"/>
      <c r="N64" s="8">
        <f t="shared" si="3"/>
        <v>0</v>
      </c>
      <c r="O64" s="12"/>
      <c r="P64" s="7">
        <v>30.4</v>
      </c>
      <c r="Q64" s="3"/>
      <c r="R64" s="8">
        <f t="shared" si="4"/>
        <v>0</v>
      </c>
      <c r="S64" s="3"/>
      <c r="T64" s="7"/>
      <c r="U64" s="3"/>
      <c r="V64" s="8">
        <f t="shared" si="5"/>
        <v>0</v>
      </c>
      <c r="W64" s="3"/>
      <c r="X64" s="7">
        <f t="shared" si="6"/>
        <v>30.4</v>
      </c>
      <c r="Y64" s="3"/>
      <c r="Z64" s="8">
        <f t="shared" si="7"/>
        <v>0</v>
      </c>
    </row>
    <row r="65" spans="1:26" s="65" customFormat="1" ht="15" customHeight="1" x14ac:dyDescent="0.3">
      <c r="A65" s="35"/>
      <c r="B65" s="35"/>
      <c r="C65" s="35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3">
      <c r="A66" s="11"/>
      <c r="B66" s="28" t="s">
        <v>291</v>
      </c>
      <c r="C66" s="11"/>
      <c r="D66" s="5">
        <f>SUM(0)</f>
        <v>0</v>
      </c>
      <c r="E66" s="5"/>
      <c r="F66" s="13">
        <f>IF(D$12=0,0,D66/D$12)</f>
        <v>0</v>
      </c>
      <c r="G66" s="5"/>
      <c r="H66" s="5">
        <f>SUM(0)</f>
        <v>0</v>
      </c>
      <c r="I66" s="5"/>
      <c r="J66" s="13">
        <f>IF(H$12=0,0,H66/H$12)</f>
        <v>0</v>
      </c>
      <c r="K66" s="5"/>
      <c r="L66" s="5">
        <f>+D66-H66</f>
        <v>0</v>
      </c>
      <c r="M66" s="5"/>
      <c r="N66" s="13">
        <f>IF(H66=0,0,L66/H66)</f>
        <v>0</v>
      </c>
      <c r="O66" s="11"/>
      <c r="P66" s="5">
        <f>SUM(0)</f>
        <v>0</v>
      </c>
      <c r="Q66" s="5"/>
      <c r="R66" s="13">
        <f>IF(P$12=0,0,P66/P$12)</f>
        <v>0</v>
      </c>
      <c r="S66" s="5"/>
      <c r="T66" s="5">
        <f>SUM(0)</f>
        <v>0</v>
      </c>
      <c r="U66" s="5"/>
      <c r="V66" s="13">
        <f>IF(T$12=0,0,T66/T$12)</f>
        <v>0</v>
      </c>
      <c r="W66" s="5"/>
      <c r="X66" s="5">
        <f>+P66-T66</f>
        <v>0</v>
      </c>
      <c r="Y66" s="5"/>
      <c r="Z66" s="13">
        <f>IF(T66=0,0,X66/T66)</f>
        <v>0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3" customFormat="1" ht="15" customHeight="1" x14ac:dyDescent="0.3">
      <c r="A68" s="11"/>
      <c r="B68" s="27" t="s">
        <v>292</v>
      </c>
      <c r="C68" s="27"/>
      <c r="D68" s="21">
        <f>+D16-D18+D66</f>
        <v>-41702.979999999996</v>
      </c>
      <c r="E68" s="15"/>
      <c r="F68" s="23">
        <f>IF(D$12=0,0,D68/D$12)</f>
        <v>0</v>
      </c>
      <c r="G68" s="15"/>
      <c r="H68" s="21">
        <f>+H16-H18+H66</f>
        <v>-44054.535630384591</v>
      </c>
      <c r="I68" s="15"/>
      <c r="J68" s="23">
        <f>IF(H$12=0,0,H68/H$12)</f>
        <v>0</v>
      </c>
      <c r="K68" s="17"/>
      <c r="L68" s="21">
        <f>+D68-H68</f>
        <v>2351.5556303845951</v>
      </c>
      <c r="M68" s="17"/>
      <c r="N68" s="23">
        <f>IF(H68=0,0,L68/H68)</f>
        <v>-5.337828663350426E-2</v>
      </c>
      <c r="O68" s="28"/>
      <c r="P68" s="21">
        <f>+P16-P18+P66</f>
        <v>-450042.3</v>
      </c>
      <c r="Q68" s="15"/>
      <c r="R68" s="23">
        <f>IF(P$12=0,0,P68/P$12)</f>
        <v>0</v>
      </c>
      <c r="S68" s="15"/>
      <c r="T68" s="21">
        <f>+T16-T18+T66</f>
        <v>-436714.22970738413</v>
      </c>
      <c r="U68" s="15"/>
      <c r="V68" s="23">
        <f>IF(T$12=0,0,T68/T$12)</f>
        <v>0</v>
      </c>
      <c r="W68" s="17"/>
      <c r="X68" s="21">
        <f>+P68-T68</f>
        <v>-13328.070292615856</v>
      </c>
      <c r="Y68" s="17"/>
      <c r="Z68" s="23">
        <f>IF(T68=0,0,X68/T68)</f>
        <v>3.051897416199649E-2</v>
      </c>
    </row>
    <row r="69" spans="1:26" ht="15" customHeight="1" x14ac:dyDescent="0.3">
      <c r="A69" s="10"/>
      <c r="B69" s="11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3" customFormat="1" ht="15" customHeight="1" x14ac:dyDescent="0.3">
      <c r="A70" s="49"/>
      <c r="B70" s="11" t="s">
        <v>293</v>
      </c>
      <c r="C70" s="11"/>
      <c r="D70" s="5"/>
      <c r="E70" s="5"/>
      <c r="F70" s="13">
        <f>IF(D$12=0,0,D70/D$12)</f>
        <v>0</v>
      </c>
      <c r="G70" s="5"/>
      <c r="H70" s="5"/>
      <c r="I70" s="5"/>
      <c r="J70" s="13">
        <f>IF(H$12=0,0,H70/H$12)</f>
        <v>0</v>
      </c>
      <c r="K70" s="5"/>
      <c r="L70" s="5">
        <f>+D70-H70</f>
        <v>0</v>
      </c>
      <c r="M70" s="5"/>
      <c r="N70" s="13">
        <f>IF(H70=0,0,L70/H70)</f>
        <v>0</v>
      </c>
      <c r="O70" s="11"/>
      <c r="P70" s="5"/>
      <c r="Q70" s="5"/>
      <c r="R70" s="13">
        <f>IF(P$12=0,0,P70/P$12)</f>
        <v>0</v>
      </c>
      <c r="S70" s="5"/>
      <c r="T70" s="5"/>
      <c r="U70" s="5"/>
      <c r="V70" s="13">
        <f>IF(T$12=0,0,T70/T$12)</f>
        <v>0</v>
      </c>
      <c r="W70" s="5"/>
      <c r="X70" s="5">
        <f>+P70-T70</f>
        <v>0</v>
      </c>
      <c r="Y70" s="5"/>
      <c r="Z70" s="13">
        <f>IF(T70=0,0,X70/T70)</f>
        <v>0</v>
      </c>
    </row>
    <row r="71" spans="1:26" ht="15" customHeight="1" x14ac:dyDescent="0.3">
      <c r="A71" s="10"/>
      <c r="B71" s="11"/>
      <c r="C71" s="11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O71" s="11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3" customFormat="1" ht="15" customHeight="1" x14ac:dyDescent="0.3">
      <c r="A72" s="11"/>
      <c r="B72" s="27" t="s">
        <v>294</v>
      </c>
      <c r="C72" s="27"/>
      <c r="D72" s="29">
        <f>+D68-D70</f>
        <v>-41702.979999999996</v>
      </c>
      <c r="E72" s="15"/>
      <c r="F72" s="30">
        <f>IF(D$12=0,0,D72/D$12)</f>
        <v>0</v>
      </c>
      <c r="G72" s="15"/>
      <c r="H72" s="29">
        <f>+H68-H70</f>
        <v>-44054.535630384591</v>
      </c>
      <c r="I72" s="15"/>
      <c r="J72" s="30">
        <f>IF(H$12=0,0,H72/H$12)</f>
        <v>0</v>
      </c>
      <c r="K72" s="17"/>
      <c r="L72" s="29">
        <f>D72-H72</f>
        <v>2351.5556303845951</v>
      </c>
      <c r="M72" s="17"/>
      <c r="N72" s="30">
        <f>IF(H72=0,0,L72/H72)</f>
        <v>-5.337828663350426E-2</v>
      </c>
      <c r="O72" s="28"/>
      <c r="P72" s="29">
        <f>+P68-P70</f>
        <v>-450042.3</v>
      </c>
      <c r="Q72" s="15"/>
      <c r="R72" s="30">
        <f>IF(P$12=0,0,P72/P$12)</f>
        <v>0</v>
      </c>
      <c r="S72" s="15"/>
      <c r="T72" s="29">
        <f>+T68-T70</f>
        <v>-436714.22970738413</v>
      </c>
      <c r="U72" s="15"/>
      <c r="V72" s="30">
        <f>IF(T$12=0,0,T72/T$12)</f>
        <v>0</v>
      </c>
      <c r="W72" s="17"/>
      <c r="X72" s="29">
        <f>P72-T72</f>
        <v>-13328.070292615856</v>
      </c>
      <c r="Y72" s="17"/>
      <c r="Z72" s="30">
        <f>IF(T72=0,0,X72/T72)</f>
        <v>3.051897416199649E-2</v>
      </c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297</v>
      </c>
      <c r="C75" s="27"/>
      <c r="D75" s="32">
        <f>SUM(D72:D74)</f>
        <v>-41702.979999999996</v>
      </c>
      <c r="E75" s="15"/>
      <c r="F75" s="34">
        <f>IF(D$12=0,0,D75/D$12)</f>
        <v>0</v>
      </c>
      <c r="G75" s="15"/>
      <c r="H75" s="32">
        <f>SUM(H72:H74)</f>
        <v>-44054.535630384591</v>
      </c>
      <c r="I75" s="15"/>
      <c r="J75" s="34">
        <f>IF(H$12=0,0,H75/H$12)</f>
        <v>0</v>
      </c>
      <c r="K75" s="17"/>
      <c r="L75" s="32">
        <f>+D75-H75</f>
        <v>2351.5556303845951</v>
      </c>
      <c r="M75" s="17"/>
      <c r="N75" s="34">
        <f>IF(H75=0,0,L75/H75)</f>
        <v>-5.337828663350426E-2</v>
      </c>
      <c r="O75" s="28"/>
      <c r="P75" s="32">
        <f>SUM(P72:P74)</f>
        <v>-450042.3</v>
      </c>
      <c r="Q75" s="15"/>
      <c r="R75" s="34">
        <f>IF(P$12=0,0,P75/P$12)</f>
        <v>0</v>
      </c>
      <c r="S75" s="15"/>
      <c r="T75" s="32">
        <f>SUM(T72:T74)</f>
        <v>-436714.22970738413</v>
      </c>
      <c r="U75" s="15"/>
      <c r="V75" s="34">
        <f>IF(T$12=0,0,T75/T$12)</f>
        <v>0</v>
      </c>
      <c r="W75" s="17"/>
      <c r="X75" s="32">
        <f>+P75-T75</f>
        <v>-13328.070292615856</v>
      </c>
      <c r="Y75" s="17"/>
      <c r="Z75" s="34">
        <f>IF(T75=0,0,X75/T75)</f>
        <v>3.051897416199649E-2</v>
      </c>
    </row>
    <row r="76" spans="1:26" ht="15" customHeight="1" x14ac:dyDescent="0.3">
      <c r="A76" s="10"/>
      <c r="C76" s="10"/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  <row r="77" spans="1:26" ht="15" customHeight="1" x14ac:dyDescent="0.3">
      <c r="A77" s="10"/>
      <c r="B77" s="56">
        <v>44694.888552430559</v>
      </c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0" t="s">
        <v>298</v>
      </c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A79" s="10"/>
      <c r="B79" s="51"/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  <row r="80" spans="1:26" ht="15" customHeight="1" x14ac:dyDescent="0.3">
      <c r="D80" s="19"/>
      <c r="E80" s="19"/>
      <c r="G80" s="19"/>
      <c r="H80" s="19"/>
      <c r="I80" s="19"/>
      <c r="J80" s="40"/>
      <c r="K80" s="19"/>
      <c r="L80" s="19"/>
      <c r="M80" s="19"/>
      <c r="P80" s="19"/>
      <c r="Q80" s="19"/>
      <c r="R80" s="40"/>
      <c r="S80" s="19"/>
      <c r="T80" s="19"/>
      <c r="U80" s="19"/>
      <c r="V80" s="40"/>
      <c r="W80" s="19"/>
      <c r="X8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100D-9523-FE2A-0F98-528B0ED55C41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","203"," - ","Human Resources")</f>
        <v>Department 203 - Human Resources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68880.219999999987</v>
      </c>
      <c r="E18" s="22"/>
      <c r="F18" s="33">
        <f t="shared" ref="F18:F49" si="0">IF(D$12=0,0,D18/D$12)</f>
        <v>0</v>
      </c>
      <c r="G18" s="22"/>
      <c r="H18" s="22" cm="1">
        <f t="array" ref="H18">SUM(OSRRefH22x_0)</f>
        <v>54327.831462107686</v>
      </c>
      <c r="I18" s="22"/>
      <c r="J18" s="33">
        <f t="shared" ref="J18:J49" si="1">IF(H$12=0,0,H18/H$12)</f>
        <v>0</v>
      </c>
      <c r="K18" s="5"/>
      <c r="L18" s="22">
        <f t="shared" ref="L18:L49" si="2">+D18-H18</f>
        <v>14552.388537892301</v>
      </c>
      <c r="M18" s="5"/>
      <c r="N18" s="33">
        <f t="shared" ref="N18:N49" si="3">IF(H18=0,0,L18/H18)</f>
        <v>0.26786249600340167</v>
      </c>
      <c r="O18" s="11"/>
      <c r="P18" s="22" cm="1">
        <f t="array" ref="P18">SUM(OSRRefP22x_0)</f>
        <v>568219.54000000015</v>
      </c>
      <c r="Q18" s="22"/>
      <c r="R18" s="33">
        <f t="shared" ref="R18:R49" si="4">IF(P$12=0,0,P18/P$12)</f>
        <v>0</v>
      </c>
      <c r="S18" s="22"/>
      <c r="T18" s="22" cm="1">
        <f t="array" ref="T18">SUM(OSRRefT22x_0)</f>
        <v>497296.9168665476</v>
      </c>
      <c r="U18" s="22"/>
      <c r="V18" s="33">
        <f t="shared" ref="V18:V49" si="5">IF(T$12=0,0,T18/T$12)</f>
        <v>0</v>
      </c>
      <c r="W18" s="5"/>
      <c r="X18" s="22">
        <f t="shared" ref="X18:X49" si="6">+P18-T18</f>
        <v>70922.623133452551</v>
      </c>
      <c r="Y18" s="5"/>
      <c r="Z18" s="33">
        <f t="shared" ref="Z18:Z49" si="7">IF(T18=0,0,X18/T18)</f>
        <v>0.14261625344539394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25067.250000000004</v>
      </c>
      <c r="E19" s="2"/>
      <c r="F19" s="6">
        <f t="shared" si="0"/>
        <v>0</v>
      </c>
      <c r="G19" s="2"/>
      <c r="H19" s="2">
        <f>SUM(OSRRefH22_0x_0)</f>
        <v>13249.599262107689</v>
      </c>
      <c r="I19" s="2"/>
      <c r="J19" s="6">
        <f t="shared" si="1"/>
        <v>0</v>
      </c>
      <c r="K19" s="2"/>
      <c r="L19" s="2">
        <f t="shared" si="2"/>
        <v>11817.650737892314</v>
      </c>
      <c r="M19" s="2"/>
      <c r="N19" s="6">
        <f t="shared" si="3"/>
        <v>0.8919251446109332</v>
      </c>
      <c r="O19" s="14"/>
      <c r="P19" s="2">
        <f>SUM(OSRRefP22_0x_0)</f>
        <v>159449.65000000002</v>
      </c>
      <c r="Q19" s="2"/>
      <c r="R19" s="6">
        <f t="shared" si="4"/>
        <v>0</v>
      </c>
      <c r="S19" s="2"/>
      <c r="T19" s="2">
        <f>SUM(OSRRefT22_0x_0)</f>
        <v>120309.2735065476</v>
      </c>
      <c r="U19" s="2"/>
      <c r="V19" s="6">
        <f t="shared" si="5"/>
        <v>0</v>
      </c>
      <c r="W19" s="2"/>
      <c r="X19" s="2">
        <f t="shared" si="6"/>
        <v>39140.376493452422</v>
      </c>
      <c r="Y19" s="2"/>
      <c r="Z19" s="6">
        <f t="shared" si="7"/>
        <v>0.32533133442387785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3416.23</v>
      </c>
      <c r="E20" s="3"/>
      <c r="F20" s="8">
        <f t="shared" si="0"/>
        <v>0</v>
      </c>
      <c r="G20" s="3"/>
      <c r="H20" s="7">
        <v>1950.3104178000001</v>
      </c>
      <c r="I20" s="3"/>
      <c r="J20" s="8">
        <f t="shared" si="1"/>
        <v>0</v>
      </c>
      <c r="K20" s="3"/>
      <c r="L20" s="7">
        <f t="shared" si="2"/>
        <v>1465.9195821999999</v>
      </c>
      <c r="M20" s="3"/>
      <c r="N20" s="8">
        <f t="shared" si="3"/>
        <v>0.75163398032483186</v>
      </c>
      <c r="O20" s="12"/>
      <c r="P20" s="7">
        <v>24371.93</v>
      </c>
      <c r="Q20" s="3"/>
      <c r="R20" s="8">
        <f t="shared" si="4"/>
        <v>0</v>
      </c>
      <c r="S20" s="3"/>
      <c r="T20" s="7">
        <v>17162.73167664</v>
      </c>
      <c r="U20" s="3"/>
      <c r="V20" s="8">
        <f t="shared" si="5"/>
        <v>0</v>
      </c>
      <c r="W20" s="3"/>
      <c r="X20" s="7">
        <f t="shared" si="6"/>
        <v>7209.1983233600004</v>
      </c>
      <c r="Y20" s="3"/>
      <c r="Z20" s="8">
        <f t="shared" si="7"/>
        <v>0.42004958529837988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381.59</v>
      </c>
      <c r="E21" s="3"/>
      <c r="F21" s="8">
        <f t="shared" si="0"/>
        <v>0</v>
      </c>
      <c r="G21" s="3"/>
      <c r="H21" s="7">
        <v>102.251206</v>
      </c>
      <c r="I21" s="3"/>
      <c r="J21" s="8">
        <f t="shared" si="1"/>
        <v>0</v>
      </c>
      <c r="K21" s="3"/>
      <c r="L21" s="7">
        <f t="shared" si="2"/>
        <v>279.33879400000001</v>
      </c>
      <c r="M21" s="3"/>
      <c r="N21" s="8">
        <f t="shared" si="3"/>
        <v>2.7318875241432363</v>
      </c>
      <c r="O21" s="12"/>
      <c r="P21" s="7">
        <v>3889.53</v>
      </c>
      <c r="Q21" s="3"/>
      <c r="R21" s="8">
        <f t="shared" si="4"/>
        <v>0</v>
      </c>
      <c r="S21" s="3"/>
      <c r="T21" s="7">
        <v>899.81061279999994</v>
      </c>
      <c r="U21" s="3"/>
      <c r="V21" s="8">
        <f t="shared" si="5"/>
        <v>0</v>
      </c>
      <c r="W21" s="3"/>
      <c r="X21" s="7">
        <f t="shared" si="6"/>
        <v>2989.7193872000003</v>
      </c>
      <c r="Y21" s="3"/>
      <c r="Z21" s="8">
        <f t="shared" si="7"/>
        <v>3.3226096077003286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5574.36</v>
      </c>
      <c r="E22" s="3"/>
      <c r="F22" s="8">
        <f t="shared" si="0"/>
        <v>0</v>
      </c>
      <c r="G22" s="3"/>
      <c r="H22" s="7">
        <v>7304.3076923076896</v>
      </c>
      <c r="I22" s="3"/>
      <c r="J22" s="8">
        <f t="shared" si="1"/>
        <v>0</v>
      </c>
      <c r="K22" s="3"/>
      <c r="L22" s="7">
        <f t="shared" si="2"/>
        <v>-1729.94769230769</v>
      </c>
      <c r="M22" s="3"/>
      <c r="N22" s="8">
        <f t="shared" si="3"/>
        <v>-0.23683937823834172</v>
      </c>
      <c r="O22" s="12"/>
      <c r="P22" s="7">
        <v>58624.83</v>
      </c>
      <c r="Q22" s="3"/>
      <c r="R22" s="8">
        <f t="shared" si="4"/>
        <v>0</v>
      </c>
      <c r="S22" s="3"/>
      <c r="T22" s="7">
        <v>66650.307692307601</v>
      </c>
      <c r="U22" s="3"/>
      <c r="V22" s="8">
        <f t="shared" si="5"/>
        <v>0</v>
      </c>
      <c r="W22" s="3"/>
      <c r="X22" s="7">
        <f t="shared" si="6"/>
        <v>-8025.4776923075988</v>
      </c>
      <c r="Y22" s="3"/>
      <c r="Z22" s="8">
        <f t="shared" si="7"/>
        <v>-0.12041171256639005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76.91</v>
      </c>
      <c r="E23" s="3"/>
      <c r="F23" s="8">
        <f t="shared" si="0"/>
        <v>0</v>
      </c>
      <c r="G23" s="3"/>
      <c r="H23" s="7">
        <v>69.266946000000004</v>
      </c>
      <c r="I23" s="3"/>
      <c r="J23" s="8">
        <f t="shared" si="1"/>
        <v>0</v>
      </c>
      <c r="K23" s="3"/>
      <c r="L23" s="7">
        <f t="shared" si="2"/>
        <v>7.6430539999999922</v>
      </c>
      <c r="M23" s="3"/>
      <c r="N23" s="8">
        <f t="shared" si="3"/>
        <v>0.11034200930412021</v>
      </c>
      <c r="O23" s="12"/>
      <c r="P23" s="7">
        <v>783.94</v>
      </c>
      <c r="Q23" s="3"/>
      <c r="R23" s="8">
        <f t="shared" si="4"/>
        <v>0</v>
      </c>
      <c r="S23" s="3"/>
      <c r="T23" s="7">
        <v>609.54912479999996</v>
      </c>
      <c r="U23" s="3"/>
      <c r="V23" s="8">
        <f t="shared" si="5"/>
        <v>0</v>
      </c>
      <c r="W23" s="3"/>
      <c r="X23" s="7">
        <f t="shared" si="6"/>
        <v>174.3908752000001</v>
      </c>
      <c r="Y23" s="3"/>
      <c r="Z23" s="8">
        <f t="shared" si="7"/>
        <v>0.28609814714641701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1866.94</v>
      </c>
      <c r="E24" s="3"/>
      <c r="F24" s="8">
        <f t="shared" si="0"/>
        <v>0</v>
      </c>
      <c r="G24" s="3"/>
      <c r="H24" s="7">
        <v>1107.25</v>
      </c>
      <c r="I24" s="3"/>
      <c r="J24" s="8">
        <f t="shared" si="1"/>
        <v>0</v>
      </c>
      <c r="K24" s="3"/>
      <c r="L24" s="7">
        <f t="shared" si="2"/>
        <v>759.69</v>
      </c>
      <c r="M24" s="3"/>
      <c r="N24" s="8">
        <f t="shared" si="3"/>
        <v>0.6861052156242945</v>
      </c>
      <c r="O24" s="12"/>
      <c r="P24" s="7">
        <v>13875.73</v>
      </c>
      <c r="Q24" s="3"/>
      <c r="R24" s="8">
        <f t="shared" si="4"/>
        <v>0</v>
      </c>
      <c r="S24" s="3"/>
      <c r="T24" s="7">
        <v>9743.7999999999993</v>
      </c>
      <c r="U24" s="3"/>
      <c r="V24" s="8">
        <f t="shared" si="5"/>
        <v>0</v>
      </c>
      <c r="W24" s="3"/>
      <c r="X24" s="7">
        <f t="shared" si="6"/>
        <v>4131.93</v>
      </c>
      <c r="Y24" s="3"/>
      <c r="Z24" s="8">
        <f t="shared" si="7"/>
        <v>0.42405734928877858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>
        <v>2219</v>
      </c>
      <c r="E25" s="3"/>
      <c r="F25" s="8">
        <f t="shared" si="0"/>
        <v>0</v>
      </c>
      <c r="G25" s="3"/>
      <c r="H25" s="7">
        <v>417</v>
      </c>
      <c r="I25" s="3"/>
      <c r="J25" s="8">
        <f t="shared" si="1"/>
        <v>0</v>
      </c>
      <c r="K25" s="3"/>
      <c r="L25" s="7">
        <f t="shared" si="2"/>
        <v>1802</v>
      </c>
      <c r="M25" s="3"/>
      <c r="N25" s="8">
        <f t="shared" si="3"/>
        <v>4.3213429256594722</v>
      </c>
      <c r="O25" s="12"/>
      <c r="P25" s="7">
        <v>4855</v>
      </c>
      <c r="Q25" s="3"/>
      <c r="R25" s="8">
        <f t="shared" si="4"/>
        <v>0</v>
      </c>
      <c r="S25" s="3"/>
      <c r="T25" s="7">
        <v>4170</v>
      </c>
      <c r="U25" s="3"/>
      <c r="V25" s="8">
        <f t="shared" si="5"/>
        <v>0</v>
      </c>
      <c r="W25" s="3"/>
      <c r="X25" s="7">
        <f t="shared" si="6"/>
        <v>685</v>
      </c>
      <c r="Y25" s="3"/>
      <c r="Z25" s="8">
        <f t="shared" si="7"/>
        <v>0.16426858513189449</v>
      </c>
    </row>
    <row r="26" spans="1:26" s="70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7">
        <v>7512.05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7512.05</v>
      </c>
      <c r="M26" s="3"/>
      <c r="N26" s="8">
        <f t="shared" si="3"/>
        <v>0</v>
      </c>
      <c r="O26" s="12"/>
      <c r="P26" s="7">
        <v>16837.05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16837.05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7">
        <v>1763.74</v>
      </c>
      <c r="E27" s="3"/>
      <c r="F27" s="8">
        <f t="shared" si="0"/>
        <v>0</v>
      </c>
      <c r="G27" s="3"/>
      <c r="H27" s="7">
        <v>914.52779999999996</v>
      </c>
      <c r="I27" s="3"/>
      <c r="J27" s="8">
        <f t="shared" si="1"/>
        <v>0</v>
      </c>
      <c r="K27" s="3"/>
      <c r="L27" s="7">
        <f t="shared" si="2"/>
        <v>849.21220000000005</v>
      </c>
      <c r="M27" s="3"/>
      <c r="N27" s="8">
        <f t="shared" si="3"/>
        <v>0.92857997318397545</v>
      </c>
      <c r="O27" s="12"/>
      <c r="P27" s="7">
        <v>18178.96</v>
      </c>
      <c r="Q27" s="3"/>
      <c r="R27" s="8">
        <f t="shared" si="4"/>
        <v>0</v>
      </c>
      <c r="S27" s="3"/>
      <c r="T27" s="7">
        <v>8047.8446400000003</v>
      </c>
      <c r="U27" s="3"/>
      <c r="V27" s="8">
        <f t="shared" si="5"/>
        <v>0</v>
      </c>
      <c r="W27" s="3"/>
      <c r="X27" s="7">
        <f t="shared" si="6"/>
        <v>10131.11536</v>
      </c>
      <c r="Y27" s="3"/>
      <c r="Z27" s="8">
        <f t="shared" si="7"/>
        <v>1.2588607028577032</v>
      </c>
    </row>
    <row r="28" spans="1:26" s="70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7">
        <v>1859.79</v>
      </c>
      <c r="E28" s="3"/>
      <c r="F28" s="8">
        <f t="shared" si="0"/>
        <v>0</v>
      </c>
      <c r="G28" s="3"/>
      <c r="H28" s="7">
        <v>684.68520000000001</v>
      </c>
      <c r="I28" s="3"/>
      <c r="J28" s="8">
        <f t="shared" si="1"/>
        <v>0</v>
      </c>
      <c r="K28" s="3"/>
      <c r="L28" s="7">
        <f t="shared" si="2"/>
        <v>1175.1048000000001</v>
      </c>
      <c r="M28" s="3"/>
      <c r="N28" s="8">
        <f t="shared" si="3"/>
        <v>1.7162701924913815</v>
      </c>
      <c r="O28" s="12"/>
      <c r="P28" s="7">
        <v>15442.79</v>
      </c>
      <c r="Q28" s="3"/>
      <c r="R28" s="8">
        <f t="shared" si="4"/>
        <v>0</v>
      </c>
      <c r="S28" s="3"/>
      <c r="T28" s="7">
        <v>6025.2297600000002</v>
      </c>
      <c r="U28" s="3"/>
      <c r="V28" s="8">
        <f t="shared" si="5"/>
        <v>0</v>
      </c>
      <c r="W28" s="3"/>
      <c r="X28" s="7">
        <f t="shared" si="6"/>
        <v>9417.5602400000007</v>
      </c>
      <c r="Y28" s="3"/>
      <c r="Z28" s="8">
        <f t="shared" si="7"/>
        <v>1.5630209328316138</v>
      </c>
    </row>
    <row r="29" spans="1:26" s="70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7">
        <v>396.64</v>
      </c>
      <c r="E29" s="3"/>
      <c r="F29" s="8">
        <f t="shared" si="0"/>
        <v>0</v>
      </c>
      <c r="G29" s="3"/>
      <c r="H29" s="7">
        <v>700</v>
      </c>
      <c r="I29" s="3"/>
      <c r="J29" s="8">
        <f t="shared" si="1"/>
        <v>0</v>
      </c>
      <c r="K29" s="3"/>
      <c r="L29" s="7">
        <f t="shared" si="2"/>
        <v>-303.36</v>
      </c>
      <c r="M29" s="3"/>
      <c r="N29" s="8">
        <f t="shared" si="3"/>
        <v>-0.43337142857142857</v>
      </c>
      <c r="O29" s="12"/>
      <c r="P29" s="7">
        <v>2589.89</v>
      </c>
      <c r="Q29" s="3"/>
      <c r="R29" s="8">
        <f t="shared" si="4"/>
        <v>0</v>
      </c>
      <c r="S29" s="3"/>
      <c r="T29" s="7">
        <v>7000</v>
      </c>
      <c r="U29" s="3"/>
      <c r="V29" s="8">
        <f t="shared" si="5"/>
        <v>0</v>
      </c>
      <c r="W29" s="3"/>
      <c r="X29" s="7">
        <f t="shared" si="6"/>
        <v>-4410.1100000000006</v>
      </c>
      <c r="Y29" s="3"/>
      <c r="Z29" s="8">
        <f t="shared" si="7"/>
        <v>-0.63001571428571435</v>
      </c>
    </row>
    <row r="30" spans="1:26" s="69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33053.9</v>
      </c>
      <c r="E30" s="2"/>
      <c r="F30" s="6">
        <f t="shared" si="0"/>
        <v>0</v>
      </c>
      <c r="G30" s="2"/>
      <c r="H30" s="2">
        <f>SUM(OSRRefH22_1x_0)</f>
        <v>29312.232199999999</v>
      </c>
      <c r="I30" s="2"/>
      <c r="J30" s="6">
        <f t="shared" si="1"/>
        <v>0</v>
      </c>
      <c r="K30" s="2"/>
      <c r="L30" s="2">
        <f t="shared" si="2"/>
        <v>3741.6678000000029</v>
      </c>
      <c r="M30" s="2"/>
      <c r="N30" s="6">
        <f t="shared" si="3"/>
        <v>0.12764868176774347</v>
      </c>
      <c r="O30" s="14"/>
      <c r="P30" s="2">
        <f>SUM(OSRRefP22_1x_0)</f>
        <v>297855.55000000005</v>
      </c>
      <c r="Q30" s="2"/>
      <c r="R30" s="6">
        <f t="shared" si="4"/>
        <v>0</v>
      </c>
      <c r="S30" s="2"/>
      <c r="T30" s="2">
        <f>SUM(OSRRefT22_1x_0)</f>
        <v>257947.64335999999</v>
      </c>
      <c r="U30" s="2"/>
      <c r="V30" s="6">
        <f t="shared" si="5"/>
        <v>0</v>
      </c>
      <c r="W30" s="2"/>
      <c r="X30" s="2">
        <f t="shared" si="6"/>
        <v>39907.906640000059</v>
      </c>
      <c r="Y30" s="2"/>
      <c r="Z30" s="6">
        <f t="shared" si="7"/>
        <v>0.15471320505263661</v>
      </c>
    </row>
    <row r="31" spans="1:26" s="70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7">
        <v>13608.66</v>
      </c>
      <c r="E31" s="3"/>
      <c r="F31" s="8">
        <f t="shared" si="0"/>
        <v>0</v>
      </c>
      <c r="G31" s="3"/>
      <c r="H31" s="7">
        <v>12231.25</v>
      </c>
      <c r="I31" s="3"/>
      <c r="J31" s="8">
        <f t="shared" si="1"/>
        <v>0</v>
      </c>
      <c r="K31" s="3"/>
      <c r="L31" s="7">
        <f t="shared" si="2"/>
        <v>1377.4099999999999</v>
      </c>
      <c r="M31" s="3"/>
      <c r="N31" s="8">
        <f t="shared" si="3"/>
        <v>0.1126140010219724</v>
      </c>
      <c r="O31" s="12"/>
      <c r="P31" s="7">
        <v>118795.54</v>
      </c>
      <c r="Q31" s="3"/>
      <c r="R31" s="8">
        <f t="shared" si="4"/>
        <v>0</v>
      </c>
      <c r="S31" s="3"/>
      <c r="T31" s="7">
        <v>107635</v>
      </c>
      <c r="U31" s="3"/>
      <c r="V31" s="8">
        <f t="shared" si="5"/>
        <v>0</v>
      </c>
      <c r="W31" s="3"/>
      <c r="X31" s="7">
        <f t="shared" si="6"/>
        <v>11160.539999999994</v>
      </c>
      <c r="Y31" s="3"/>
      <c r="Z31" s="8">
        <f t="shared" si="7"/>
        <v>0.10368876294885487</v>
      </c>
    </row>
    <row r="32" spans="1:26" s="70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18.5</v>
      </c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18.5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","6003"," - ","STAFF HOURLY-9 MONTH")</f>
        <v xml:space="preserve">          6003 - STAFF HOURLY-9 MONTH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7">
        <v>20482.61</v>
      </c>
      <c r="E34" s="3"/>
      <c r="F34" s="8">
        <f t="shared" si="0"/>
        <v>0</v>
      </c>
      <c r="G34" s="3"/>
      <c r="H34" s="7">
        <v>12230.9822</v>
      </c>
      <c r="I34" s="3"/>
      <c r="J34" s="8">
        <f t="shared" si="1"/>
        <v>0</v>
      </c>
      <c r="K34" s="3"/>
      <c r="L34" s="7">
        <f t="shared" si="2"/>
        <v>8251.6278000000002</v>
      </c>
      <c r="M34" s="3"/>
      <c r="N34" s="8">
        <f t="shared" si="3"/>
        <v>0.67464964506284708</v>
      </c>
      <c r="O34" s="12"/>
      <c r="P34" s="7">
        <v>157724.42000000001</v>
      </c>
      <c r="Q34" s="3"/>
      <c r="R34" s="8">
        <f t="shared" si="4"/>
        <v>0</v>
      </c>
      <c r="S34" s="3"/>
      <c r="T34" s="7">
        <v>107632.64336</v>
      </c>
      <c r="U34" s="3"/>
      <c r="V34" s="8">
        <f t="shared" si="5"/>
        <v>0</v>
      </c>
      <c r="W34" s="3"/>
      <c r="X34" s="7">
        <f t="shared" si="6"/>
        <v>50091.776640000011</v>
      </c>
      <c r="Y34" s="3"/>
      <c r="Z34" s="8">
        <f t="shared" si="7"/>
        <v>0.46539576727162163</v>
      </c>
    </row>
    <row r="35" spans="1:26" s="70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7">
        <v>3139.63</v>
      </c>
      <c r="E35" s="3"/>
      <c r="F35" s="8">
        <f t="shared" si="0"/>
        <v>0</v>
      </c>
      <c r="G35" s="3"/>
      <c r="H35" s="7">
        <v>4850</v>
      </c>
      <c r="I35" s="3"/>
      <c r="J35" s="8">
        <f t="shared" si="1"/>
        <v>0</v>
      </c>
      <c r="K35" s="3"/>
      <c r="L35" s="7">
        <f t="shared" si="2"/>
        <v>-1710.37</v>
      </c>
      <c r="M35" s="3"/>
      <c r="N35" s="8">
        <f t="shared" si="3"/>
        <v>-0.35265360824742265</v>
      </c>
      <c r="O35" s="12"/>
      <c r="P35" s="7">
        <v>21317.09</v>
      </c>
      <c r="Q35" s="3"/>
      <c r="R35" s="8">
        <f t="shared" si="4"/>
        <v>0</v>
      </c>
      <c r="S35" s="3"/>
      <c r="T35" s="7">
        <v>42680</v>
      </c>
      <c r="U35" s="3"/>
      <c r="V35" s="8">
        <f t="shared" si="5"/>
        <v>0</v>
      </c>
      <c r="W35" s="3"/>
      <c r="X35" s="7">
        <f t="shared" si="6"/>
        <v>-21362.91</v>
      </c>
      <c r="Y35" s="3"/>
      <c r="Z35" s="8">
        <f t="shared" si="7"/>
        <v>-0.50053678537956892</v>
      </c>
    </row>
    <row r="36" spans="1:26" s="70" customFormat="1" ht="15" hidden="1" customHeight="1" outlineLevel="2" x14ac:dyDescent="0.3">
      <c r="A36" s="26"/>
      <c r="B36" s="12" t="str">
        <f>CONCATENATE("          ","6006"," - ","TEMPORARY PART TIME")</f>
        <v xml:space="preserve">          6006 - TEMPORARY PART TIME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","6007"," - ","STUDENT HOURLY")</f>
        <v xml:space="preserve">          6007 - STUDENT HOURLY</v>
      </c>
      <c r="C37" s="12"/>
      <c r="D37" s="7">
        <v>-4177</v>
      </c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-4177</v>
      </c>
      <c r="M37" s="3"/>
      <c r="N37" s="8">
        <f t="shared" si="3"/>
        <v>0</v>
      </c>
      <c r="O37" s="12"/>
      <c r="P37" s="7">
        <v>0</v>
      </c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","6008"," - ","STUDENT HOURLY-FICA EXEMPT")</f>
        <v xml:space="preserve">          6008 - STUDENT HOURLY-FICA EXEMPT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","6009"," - ","TEMPORARY-SEASONAL")</f>
        <v xml:space="preserve">          6009 - TEMPORARY-SEASONAL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","6010"," - ","GRATUITY")</f>
        <v xml:space="preserve">          6010 - GRATUITY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231.53</v>
      </c>
      <c r="E41" s="2"/>
      <c r="F41" s="6">
        <f t="shared" si="0"/>
        <v>0</v>
      </c>
      <c r="G41" s="2"/>
      <c r="H41" s="2">
        <f>SUM(OSRRefH22_2x_0)</f>
        <v>150</v>
      </c>
      <c r="I41" s="2"/>
      <c r="J41" s="6">
        <f t="shared" si="1"/>
        <v>0</v>
      </c>
      <c r="K41" s="2"/>
      <c r="L41" s="2">
        <f t="shared" si="2"/>
        <v>81.53</v>
      </c>
      <c r="M41" s="2"/>
      <c r="N41" s="6">
        <f t="shared" si="3"/>
        <v>0.54353333333333331</v>
      </c>
      <c r="O41" s="14"/>
      <c r="P41" s="2">
        <f>SUM(OSRRefP22_2x_0)</f>
        <v>646.46</v>
      </c>
      <c r="Q41" s="2"/>
      <c r="R41" s="6">
        <f t="shared" si="4"/>
        <v>0</v>
      </c>
      <c r="S41" s="2"/>
      <c r="T41" s="2">
        <f>SUM(OSRRefT22_2x_0)</f>
        <v>1500</v>
      </c>
      <c r="U41" s="2"/>
      <c r="V41" s="6">
        <f t="shared" si="5"/>
        <v>0</v>
      </c>
      <c r="W41" s="2"/>
      <c r="X41" s="2">
        <f t="shared" si="6"/>
        <v>-853.54</v>
      </c>
      <c r="Y41" s="2"/>
      <c r="Z41" s="6">
        <f t="shared" si="7"/>
        <v>-0.56902666666666668</v>
      </c>
    </row>
    <row r="42" spans="1:26" s="70" customFormat="1" ht="15" hidden="1" customHeight="1" outlineLevel="2" x14ac:dyDescent="0.3">
      <c r="A42" s="26"/>
      <c r="B42" s="12" t="str">
        <f>CONCATENATE("          ","6362"," - ","ADVERTISING EXPENSE")</f>
        <v xml:space="preserve">          6362 - ADVERTISING EXPENSE</v>
      </c>
      <c r="C42" s="12"/>
      <c r="D42" s="7">
        <v>231.53</v>
      </c>
      <c r="E42" s="3"/>
      <c r="F42" s="8">
        <f t="shared" si="0"/>
        <v>0</v>
      </c>
      <c r="G42" s="3"/>
      <c r="H42" s="7">
        <v>150</v>
      </c>
      <c r="I42" s="3"/>
      <c r="J42" s="8">
        <f t="shared" si="1"/>
        <v>0</v>
      </c>
      <c r="K42" s="3"/>
      <c r="L42" s="7">
        <f t="shared" si="2"/>
        <v>81.53</v>
      </c>
      <c r="M42" s="3"/>
      <c r="N42" s="8">
        <f t="shared" si="3"/>
        <v>0.54353333333333331</v>
      </c>
      <c r="O42" s="12"/>
      <c r="P42" s="7">
        <v>646.46</v>
      </c>
      <c r="Q42" s="3"/>
      <c r="R42" s="8">
        <f t="shared" si="4"/>
        <v>0</v>
      </c>
      <c r="S42" s="3"/>
      <c r="T42" s="7">
        <v>1500</v>
      </c>
      <c r="U42" s="3"/>
      <c r="V42" s="8">
        <f t="shared" si="5"/>
        <v>0</v>
      </c>
      <c r="W42" s="3"/>
      <c r="X42" s="7">
        <f t="shared" si="6"/>
        <v>-853.54</v>
      </c>
      <c r="Y42" s="3"/>
      <c r="Z42" s="8">
        <f t="shared" si="7"/>
        <v>-0.56902666666666668</v>
      </c>
    </row>
    <row r="43" spans="1:26" s="69" customFormat="1" ht="15" customHeight="1" outlineLevel="1" collapsed="1" x14ac:dyDescent="0.3">
      <c r="A43" s="25"/>
      <c r="B43" s="14" t="str">
        <f>CONCATENATE("     ","Employees' Appreciation                           ")</f>
        <v xml:space="preserve">     Employees' Appreciation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250</v>
      </c>
      <c r="I43" s="2"/>
      <c r="J43" s="6">
        <f t="shared" si="1"/>
        <v>0</v>
      </c>
      <c r="K43" s="2"/>
      <c r="L43" s="2">
        <f t="shared" si="2"/>
        <v>-250</v>
      </c>
      <c r="M43" s="2"/>
      <c r="N43" s="6">
        <f t="shared" si="3"/>
        <v>-1</v>
      </c>
      <c r="O43" s="14"/>
      <c r="P43" s="2">
        <f>SUM(OSRRefP22_3x_0)</f>
        <v>114.87</v>
      </c>
      <c r="Q43" s="2"/>
      <c r="R43" s="6">
        <f t="shared" si="4"/>
        <v>0</v>
      </c>
      <c r="S43" s="2"/>
      <c r="T43" s="2">
        <f>SUM(OSRRefT22_3x_0)</f>
        <v>2500</v>
      </c>
      <c r="U43" s="2"/>
      <c r="V43" s="6">
        <f t="shared" si="5"/>
        <v>0</v>
      </c>
      <c r="W43" s="2"/>
      <c r="X43" s="2">
        <f t="shared" si="6"/>
        <v>-2385.13</v>
      </c>
      <c r="Y43" s="2"/>
      <c r="Z43" s="6">
        <f t="shared" si="7"/>
        <v>-0.95405200000000001</v>
      </c>
    </row>
    <row r="44" spans="1:26" s="70" customFormat="1" ht="15" hidden="1" customHeight="1" outlineLevel="2" x14ac:dyDescent="0.3">
      <c r="A44" s="26"/>
      <c r="B44" s="12" t="str">
        <f>CONCATENATE("          ","6277"," - ","EMPLOYEE APPRECIATION")</f>
        <v xml:space="preserve">          6277 - EMPLOYEE APPRECIATION</v>
      </c>
      <c r="C44" s="12"/>
      <c r="D44" s="7"/>
      <c r="E44" s="3"/>
      <c r="F44" s="8">
        <f t="shared" si="0"/>
        <v>0</v>
      </c>
      <c r="G44" s="3"/>
      <c r="H44" s="7">
        <v>250</v>
      </c>
      <c r="I44" s="3"/>
      <c r="J44" s="8">
        <f t="shared" si="1"/>
        <v>0</v>
      </c>
      <c r="K44" s="3"/>
      <c r="L44" s="7">
        <f t="shared" si="2"/>
        <v>-250</v>
      </c>
      <c r="M44" s="3"/>
      <c r="N44" s="8">
        <f t="shared" si="3"/>
        <v>-1</v>
      </c>
      <c r="O44" s="12"/>
      <c r="P44" s="7">
        <v>114.87</v>
      </c>
      <c r="Q44" s="3"/>
      <c r="R44" s="8">
        <f t="shared" si="4"/>
        <v>0</v>
      </c>
      <c r="S44" s="3"/>
      <c r="T44" s="7">
        <v>2500</v>
      </c>
      <c r="U44" s="3"/>
      <c r="V44" s="8">
        <f t="shared" si="5"/>
        <v>0</v>
      </c>
      <c r="W44" s="3"/>
      <c r="X44" s="7">
        <f t="shared" si="6"/>
        <v>-2385.13</v>
      </c>
      <c r="Y44" s="3"/>
      <c r="Z44" s="8">
        <f t="shared" si="7"/>
        <v>-0.95405200000000001</v>
      </c>
    </row>
    <row r="45" spans="1:26" s="69" customFormat="1" ht="15" customHeight="1" outlineLevel="1" collapsed="1" x14ac:dyDescent="0.3">
      <c r="A45" s="25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-75</v>
      </c>
      <c r="M45" s="2"/>
      <c r="N45" s="6">
        <f t="shared" si="3"/>
        <v>-1</v>
      </c>
      <c r="O45" s="14"/>
      <c r="P45" s="2">
        <f>SUM(OSRRefP22_4x_0)</f>
        <v>0</v>
      </c>
      <c r="Q45" s="2"/>
      <c r="R45" s="6">
        <f t="shared" si="4"/>
        <v>0</v>
      </c>
      <c r="S45" s="2"/>
      <c r="T45" s="2">
        <f>SUM(OSRRefT22_4x_0)</f>
        <v>750</v>
      </c>
      <c r="U45" s="2"/>
      <c r="V45" s="6">
        <f t="shared" si="5"/>
        <v>0</v>
      </c>
      <c r="W45" s="2"/>
      <c r="X45" s="2">
        <f t="shared" si="6"/>
        <v>-750</v>
      </c>
      <c r="Y45" s="2"/>
      <c r="Z45" s="6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","6351"," - ","EQUIPMENT RENTAL")</f>
        <v xml:space="preserve">          6351 - EQUIPMENT RENTAL</v>
      </c>
      <c r="C46" s="12"/>
      <c r="D46" s="7"/>
      <c r="E46" s="3"/>
      <c r="F46" s="8">
        <f t="shared" si="0"/>
        <v>0</v>
      </c>
      <c r="G46" s="3"/>
      <c r="H46" s="7">
        <v>75</v>
      </c>
      <c r="I46" s="3"/>
      <c r="J46" s="8">
        <f t="shared" si="1"/>
        <v>0</v>
      </c>
      <c r="K46" s="3"/>
      <c r="L46" s="7">
        <f t="shared" si="2"/>
        <v>-75</v>
      </c>
      <c r="M46" s="3"/>
      <c r="N46" s="8">
        <f t="shared" si="3"/>
        <v>-1</v>
      </c>
      <c r="O46" s="12"/>
      <c r="P46" s="7"/>
      <c r="Q46" s="3"/>
      <c r="R46" s="8">
        <f t="shared" si="4"/>
        <v>0</v>
      </c>
      <c r="S46" s="3"/>
      <c r="T46" s="7">
        <v>750</v>
      </c>
      <c r="U46" s="3"/>
      <c r="V46" s="8">
        <f t="shared" si="5"/>
        <v>0</v>
      </c>
      <c r="W46" s="3"/>
      <c r="X46" s="7">
        <f t="shared" si="6"/>
        <v>-750</v>
      </c>
      <c r="Y46" s="3"/>
      <c r="Z46" s="8">
        <f t="shared" si="7"/>
        <v>-1</v>
      </c>
    </row>
    <row r="47" spans="1:26" s="69" customFormat="1" ht="15" customHeight="1" outlineLevel="1" collapsed="1" x14ac:dyDescent="0.3">
      <c r="A47" s="25"/>
      <c r="B47" s="14" t="str">
        <f>CONCATENATE("     ","Freight out/Postage                               ")</f>
        <v xml:space="preserve">     Freight out/Postage                               </v>
      </c>
      <c r="C47" s="14"/>
      <c r="D47" s="2">
        <f>SUM(OSRRefD22_5x_0)</f>
        <v>1.79</v>
      </c>
      <c r="E47" s="2"/>
      <c r="F47" s="6">
        <f t="shared" si="0"/>
        <v>0</v>
      </c>
      <c r="G47" s="2"/>
      <c r="H47" s="2">
        <f>SUM(OSRRefH22_5x_0)</f>
        <v>85</v>
      </c>
      <c r="I47" s="2"/>
      <c r="J47" s="6">
        <f t="shared" si="1"/>
        <v>0</v>
      </c>
      <c r="K47" s="2"/>
      <c r="L47" s="2">
        <f t="shared" si="2"/>
        <v>-83.21</v>
      </c>
      <c r="M47" s="2"/>
      <c r="N47" s="6">
        <f t="shared" si="3"/>
        <v>-0.9789411764705882</v>
      </c>
      <c r="O47" s="14"/>
      <c r="P47" s="2">
        <f>SUM(OSRRefP22_5x_0)</f>
        <v>209.61</v>
      </c>
      <c r="Q47" s="2"/>
      <c r="R47" s="6">
        <f t="shared" si="4"/>
        <v>0</v>
      </c>
      <c r="S47" s="2"/>
      <c r="T47" s="2">
        <f>SUM(OSRRefT22_5x_0)</f>
        <v>510</v>
      </c>
      <c r="U47" s="2"/>
      <c r="V47" s="6">
        <f t="shared" si="5"/>
        <v>0</v>
      </c>
      <c r="W47" s="2"/>
      <c r="X47" s="2">
        <f t="shared" si="6"/>
        <v>-300.39</v>
      </c>
      <c r="Y47" s="2"/>
      <c r="Z47" s="6">
        <f t="shared" si="7"/>
        <v>-0.58899999999999997</v>
      </c>
    </row>
    <row r="48" spans="1:26" s="70" customFormat="1" ht="15" hidden="1" customHeight="1" outlineLevel="2" x14ac:dyDescent="0.3">
      <c r="A48" s="26"/>
      <c r="B48" s="12" t="str">
        <f>CONCATENATE("          ","6307"," - ","POSTAGE")</f>
        <v xml:space="preserve">          6307 - POSTAGE</v>
      </c>
      <c r="C48" s="12"/>
      <c r="D48" s="7">
        <v>1.79</v>
      </c>
      <c r="E48" s="3"/>
      <c r="F48" s="8">
        <f t="shared" si="0"/>
        <v>0</v>
      </c>
      <c r="G48" s="3"/>
      <c r="H48" s="7">
        <v>85</v>
      </c>
      <c r="I48" s="3"/>
      <c r="J48" s="8">
        <f t="shared" si="1"/>
        <v>0</v>
      </c>
      <c r="K48" s="3"/>
      <c r="L48" s="7">
        <f t="shared" si="2"/>
        <v>-83.21</v>
      </c>
      <c r="M48" s="3"/>
      <c r="N48" s="8">
        <f t="shared" si="3"/>
        <v>-0.9789411764705882</v>
      </c>
      <c r="O48" s="12"/>
      <c r="P48" s="7">
        <v>209.61</v>
      </c>
      <c r="Q48" s="3"/>
      <c r="R48" s="8">
        <f t="shared" si="4"/>
        <v>0</v>
      </c>
      <c r="S48" s="3"/>
      <c r="T48" s="7">
        <v>510</v>
      </c>
      <c r="U48" s="3"/>
      <c r="V48" s="8">
        <f t="shared" si="5"/>
        <v>0</v>
      </c>
      <c r="W48" s="3"/>
      <c r="X48" s="7">
        <f t="shared" si="6"/>
        <v>-300.39</v>
      </c>
      <c r="Y48" s="3"/>
      <c r="Z48" s="8">
        <f t="shared" si="7"/>
        <v>-0.58899999999999997</v>
      </c>
    </row>
    <row r="49" spans="1:26" s="69" customFormat="1" ht="15" customHeight="1" outlineLevel="1" collapsed="1" x14ac:dyDescent="0.3">
      <c r="A49" s="25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52.5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52.5</v>
      </c>
      <c r="M49" s="2"/>
      <c r="N49" s="6">
        <f t="shared" si="3"/>
        <v>0</v>
      </c>
      <c r="O49" s="14"/>
      <c r="P49" s="2">
        <f>SUM(OSRRefP22_6x_0)</f>
        <v>2895.25</v>
      </c>
      <c r="Q49" s="2"/>
      <c r="R49" s="6">
        <f t="shared" si="4"/>
        <v>0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2895.25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","6279"," - ","GENERAL EXPENSE")</f>
        <v xml:space="preserve">          6279 - GENERAL EXPENSE</v>
      </c>
      <c r="C50" s="12"/>
      <c r="D50" s="7">
        <v>52.5</v>
      </c>
      <c r="E50" s="3"/>
      <c r="F50" s="8">
        <f t="shared" ref="F50:F73" si="8">IF(D$12=0,0,D50/D$12)</f>
        <v>0</v>
      </c>
      <c r="G50" s="3"/>
      <c r="H50" s="7"/>
      <c r="I50" s="3"/>
      <c r="J50" s="8">
        <f t="shared" ref="J50:J73" si="9">IF(H$12=0,0,H50/H$12)</f>
        <v>0</v>
      </c>
      <c r="K50" s="3"/>
      <c r="L50" s="7">
        <f t="shared" ref="L50:L73" si="10">+D50-H50</f>
        <v>52.5</v>
      </c>
      <c r="M50" s="3"/>
      <c r="N50" s="8">
        <f t="shared" ref="N50:N73" si="11">IF(H50=0,0,L50/H50)</f>
        <v>0</v>
      </c>
      <c r="O50" s="12"/>
      <c r="P50" s="7">
        <v>2895.25</v>
      </c>
      <c r="Q50" s="3"/>
      <c r="R50" s="8">
        <f t="shared" ref="R50:R73" si="12">IF(P$12=0,0,P50/P$12)</f>
        <v>0</v>
      </c>
      <c r="S50" s="3"/>
      <c r="T50" s="7"/>
      <c r="U50" s="3"/>
      <c r="V50" s="8">
        <f t="shared" ref="V50:V73" si="13">IF(T$12=0,0,T50/T$12)</f>
        <v>0</v>
      </c>
      <c r="W50" s="3"/>
      <c r="X50" s="7">
        <f t="shared" ref="X50:X73" si="14">+P50-T50</f>
        <v>2895.25</v>
      </c>
      <c r="Y50" s="3"/>
      <c r="Z50" s="8">
        <f t="shared" ref="Z50:Z73" si="15">IF(T50=0,0,X50/T50)</f>
        <v>0</v>
      </c>
    </row>
    <row r="51" spans="1:26" s="69" customFormat="1" ht="15" customHeight="1" outlineLevel="1" collapsed="1" x14ac:dyDescent="0.3">
      <c r="A51" s="25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88.99</v>
      </c>
      <c r="E51" s="2"/>
      <c r="F51" s="6">
        <f t="shared" si="8"/>
        <v>0</v>
      </c>
      <c r="G51" s="2"/>
      <c r="H51" s="2">
        <f>SUM(OSRRefH22_7x_0)</f>
        <v>90</v>
      </c>
      <c r="I51" s="2"/>
      <c r="J51" s="6">
        <f t="shared" si="9"/>
        <v>0</v>
      </c>
      <c r="K51" s="2"/>
      <c r="L51" s="2">
        <f t="shared" si="10"/>
        <v>-1.0100000000000051</v>
      </c>
      <c r="M51" s="2"/>
      <c r="N51" s="6">
        <f t="shared" si="11"/>
        <v>-1.1222222222222279E-2</v>
      </c>
      <c r="O51" s="14"/>
      <c r="P51" s="2">
        <f>SUM(OSRRefP22_7x_0)</f>
        <v>889.9</v>
      </c>
      <c r="Q51" s="2"/>
      <c r="R51" s="6">
        <f t="shared" si="12"/>
        <v>0</v>
      </c>
      <c r="S51" s="2"/>
      <c r="T51" s="2">
        <f>SUM(OSRRefT22_7x_0)</f>
        <v>900</v>
      </c>
      <c r="U51" s="2"/>
      <c r="V51" s="6">
        <f t="shared" si="13"/>
        <v>0</v>
      </c>
      <c r="W51" s="2"/>
      <c r="X51" s="2">
        <f t="shared" si="14"/>
        <v>-10.100000000000023</v>
      </c>
      <c r="Y51" s="2"/>
      <c r="Z51" s="6">
        <f t="shared" si="15"/>
        <v>-1.1222222222222248E-2</v>
      </c>
    </row>
    <row r="52" spans="1:26" s="70" customFormat="1" ht="15" hidden="1" customHeight="1" outlineLevel="2" x14ac:dyDescent="0.3">
      <c r="A52" s="26"/>
      <c r="B52" s="12" t="str">
        <f>CONCATENATE("          ","6314"," - ","LIABILITY INSURANCE")</f>
        <v xml:space="preserve">          6314 - LIABILITY INSURANCE</v>
      </c>
      <c r="C52" s="12"/>
      <c r="D52" s="7">
        <v>88.99</v>
      </c>
      <c r="E52" s="3"/>
      <c r="F52" s="8">
        <f t="shared" si="8"/>
        <v>0</v>
      </c>
      <c r="G52" s="3"/>
      <c r="H52" s="7">
        <v>90</v>
      </c>
      <c r="I52" s="3"/>
      <c r="J52" s="8">
        <f t="shared" si="9"/>
        <v>0</v>
      </c>
      <c r="K52" s="3"/>
      <c r="L52" s="7">
        <f t="shared" si="10"/>
        <v>-1.0100000000000051</v>
      </c>
      <c r="M52" s="3"/>
      <c r="N52" s="8">
        <f t="shared" si="11"/>
        <v>-1.1222222222222279E-2</v>
      </c>
      <c r="O52" s="12"/>
      <c r="P52" s="7">
        <v>889.9</v>
      </c>
      <c r="Q52" s="3"/>
      <c r="R52" s="8">
        <f t="shared" si="12"/>
        <v>0</v>
      </c>
      <c r="S52" s="3"/>
      <c r="T52" s="7">
        <v>900</v>
      </c>
      <c r="U52" s="3"/>
      <c r="V52" s="8">
        <f t="shared" si="13"/>
        <v>0</v>
      </c>
      <c r="W52" s="3"/>
      <c r="X52" s="7">
        <f t="shared" si="14"/>
        <v>-10.100000000000023</v>
      </c>
      <c r="Y52" s="3"/>
      <c r="Z52" s="8">
        <f t="shared" si="15"/>
        <v>-1.1222222222222248E-2</v>
      </c>
    </row>
    <row r="53" spans="1:26" s="69" customFormat="1" ht="15" customHeight="1" outlineLevel="1" collapsed="1" x14ac:dyDescent="0.3">
      <c r="A53" s="25"/>
      <c r="B53" s="14" t="str">
        <f>CONCATENATE("     ","Professional Services                             ")</f>
        <v xml:space="preserve">     Professional Services                             </v>
      </c>
      <c r="C53" s="14"/>
      <c r="D53" s="2">
        <f>SUM(OSRRefD22_8x_0)</f>
        <v>386.88</v>
      </c>
      <c r="E53" s="2"/>
      <c r="F53" s="6">
        <f t="shared" si="8"/>
        <v>0</v>
      </c>
      <c r="G53" s="2"/>
      <c r="H53" s="2">
        <f>SUM(OSRRefH22_8x_0)</f>
        <v>1666</v>
      </c>
      <c r="I53" s="2"/>
      <c r="J53" s="6">
        <f t="shared" si="9"/>
        <v>0</v>
      </c>
      <c r="K53" s="2"/>
      <c r="L53" s="2">
        <f t="shared" si="10"/>
        <v>-1279.1199999999999</v>
      </c>
      <c r="M53" s="2"/>
      <c r="N53" s="6">
        <f t="shared" si="11"/>
        <v>-0.76777911164465784</v>
      </c>
      <c r="O53" s="14"/>
      <c r="P53" s="2">
        <f>SUM(OSRRefP22_8x_0)</f>
        <v>11562.89</v>
      </c>
      <c r="Q53" s="2"/>
      <c r="R53" s="6">
        <f t="shared" si="12"/>
        <v>0</v>
      </c>
      <c r="S53" s="2"/>
      <c r="T53" s="2">
        <f>SUM(OSRRefT22_8x_0)</f>
        <v>16660</v>
      </c>
      <c r="U53" s="2"/>
      <c r="V53" s="6">
        <f t="shared" si="13"/>
        <v>0</v>
      </c>
      <c r="W53" s="2"/>
      <c r="X53" s="2">
        <f t="shared" si="14"/>
        <v>-5097.1100000000006</v>
      </c>
      <c r="Y53" s="2"/>
      <c r="Z53" s="6">
        <f t="shared" si="15"/>
        <v>-0.30594897959183676</v>
      </c>
    </row>
    <row r="54" spans="1:26" s="70" customFormat="1" ht="15" hidden="1" customHeight="1" outlineLevel="2" x14ac:dyDescent="0.3">
      <c r="A54" s="26"/>
      <c r="B54" s="12" t="str">
        <f>CONCATENATE("          ","6332"," - ","CONSULTANT FEES")</f>
        <v xml:space="preserve">          6332 - CONSULTANT FEES</v>
      </c>
      <c r="C54" s="12"/>
      <c r="D54" s="7"/>
      <c r="E54" s="3"/>
      <c r="F54" s="8">
        <f t="shared" si="8"/>
        <v>0</v>
      </c>
      <c r="G54" s="3"/>
      <c r="H54" s="7">
        <v>0</v>
      </c>
      <c r="I54" s="3"/>
      <c r="J54" s="8">
        <f t="shared" si="9"/>
        <v>0</v>
      </c>
      <c r="K54" s="3"/>
      <c r="L54" s="7">
        <f t="shared" si="10"/>
        <v>0</v>
      </c>
      <c r="M54" s="3"/>
      <c r="N54" s="8">
        <f t="shared" si="11"/>
        <v>0</v>
      </c>
      <c r="O54" s="12"/>
      <c r="P54" s="7"/>
      <c r="Q54" s="3"/>
      <c r="R54" s="8">
        <f t="shared" si="12"/>
        <v>0</v>
      </c>
      <c r="S54" s="3"/>
      <c r="T54" s="7">
        <v>0</v>
      </c>
      <c r="U54" s="3"/>
      <c r="V54" s="8">
        <f t="shared" si="13"/>
        <v>0</v>
      </c>
      <c r="W54" s="3"/>
      <c r="X54" s="7">
        <f t="shared" si="14"/>
        <v>0</v>
      </c>
      <c r="Y54" s="3"/>
      <c r="Z54" s="8">
        <f t="shared" si="15"/>
        <v>0</v>
      </c>
    </row>
    <row r="55" spans="1:26" s="70" customFormat="1" ht="15" hidden="1" customHeight="1" outlineLevel="2" x14ac:dyDescent="0.3">
      <c r="A55" s="26"/>
      <c r="B55" s="12" t="str">
        <f>CONCATENATE("          ","6334"," - ","LEGAL COUNCIL EXPENSE")</f>
        <v xml:space="preserve">          6334 - LEGAL COUNCIL EXPENSE</v>
      </c>
      <c r="C55" s="12"/>
      <c r="D55" s="7"/>
      <c r="E55" s="3"/>
      <c r="F55" s="8">
        <f t="shared" si="8"/>
        <v>0</v>
      </c>
      <c r="G55" s="3"/>
      <c r="H55" s="7">
        <v>833</v>
      </c>
      <c r="I55" s="3"/>
      <c r="J55" s="8">
        <f t="shared" si="9"/>
        <v>0</v>
      </c>
      <c r="K55" s="3"/>
      <c r="L55" s="7">
        <f t="shared" si="10"/>
        <v>-833</v>
      </c>
      <c r="M55" s="3"/>
      <c r="N55" s="8">
        <f t="shared" si="11"/>
        <v>-1</v>
      </c>
      <c r="O55" s="12"/>
      <c r="P55" s="7">
        <v>3255</v>
      </c>
      <c r="Q55" s="3"/>
      <c r="R55" s="8">
        <f t="shared" si="12"/>
        <v>0</v>
      </c>
      <c r="S55" s="3"/>
      <c r="T55" s="7">
        <v>8330</v>
      </c>
      <c r="U55" s="3"/>
      <c r="V55" s="8">
        <f t="shared" si="13"/>
        <v>0</v>
      </c>
      <c r="W55" s="3"/>
      <c r="X55" s="7">
        <f t="shared" si="14"/>
        <v>-5075</v>
      </c>
      <c r="Y55" s="3"/>
      <c r="Z55" s="8">
        <f t="shared" si="15"/>
        <v>-0.60924369747899154</v>
      </c>
    </row>
    <row r="56" spans="1:26" s="70" customFormat="1" ht="15" hidden="1" customHeight="1" outlineLevel="2" x14ac:dyDescent="0.3">
      <c r="A56" s="26"/>
      <c r="B56" s="12" t="str">
        <f>CONCATENATE("          ","6336"," - ","PROFESSIONAL SERVICES")</f>
        <v xml:space="preserve">          6336 - PROFESSIONAL SERVICES</v>
      </c>
      <c r="C56" s="12"/>
      <c r="D56" s="7">
        <v>386.88</v>
      </c>
      <c r="E56" s="3"/>
      <c r="F56" s="8">
        <f t="shared" si="8"/>
        <v>0</v>
      </c>
      <c r="G56" s="3"/>
      <c r="H56" s="7">
        <v>833</v>
      </c>
      <c r="I56" s="3"/>
      <c r="J56" s="8">
        <f t="shared" si="9"/>
        <v>0</v>
      </c>
      <c r="K56" s="3"/>
      <c r="L56" s="7">
        <f t="shared" si="10"/>
        <v>-446.12</v>
      </c>
      <c r="M56" s="3"/>
      <c r="N56" s="8">
        <f t="shared" si="11"/>
        <v>-0.53555822328931568</v>
      </c>
      <c r="O56" s="12"/>
      <c r="P56" s="7">
        <v>8307.89</v>
      </c>
      <c r="Q56" s="3"/>
      <c r="R56" s="8">
        <f t="shared" si="12"/>
        <v>0</v>
      </c>
      <c r="S56" s="3"/>
      <c r="T56" s="7">
        <v>8330</v>
      </c>
      <c r="U56" s="3"/>
      <c r="V56" s="8">
        <f t="shared" si="13"/>
        <v>0</v>
      </c>
      <c r="W56" s="3"/>
      <c r="X56" s="7">
        <f t="shared" si="14"/>
        <v>-22.110000000000582</v>
      </c>
      <c r="Y56" s="3"/>
      <c r="Z56" s="8">
        <f t="shared" si="15"/>
        <v>-2.6542617046819428E-3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7927.75</v>
      </c>
      <c r="E57" s="2"/>
      <c r="F57" s="6">
        <f t="shared" si="8"/>
        <v>0</v>
      </c>
      <c r="G57" s="2"/>
      <c r="H57" s="2">
        <f>SUM(OSRRefH22_9x_0)</f>
        <v>7000</v>
      </c>
      <c r="I57" s="2"/>
      <c r="J57" s="6">
        <f t="shared" si="9"/>
        <v>0</v>
      </c>
      <c r="K57" s="2"/>
      <c r="L57" s="2">
        <f t="shared" si="10"/>
        <v>927.75</v>
      </c>
      <c r="M57" s="2"/>
      <c r="N57" s="6">
        <f t="shared" si="11"/>
        <v>0.13253571428571428</v>
      </c>
      <c r="O57" s="14"/>
      <c r="P57" s="2">
        <f>SUM(OSRRefP22_9x_0)</f>
        <v>67742.94</v>
      </c>
      <c r="Q57" s="2"/>
      <c r="R57" s="6">
        <f t="shared" si="12"/>
        <v>0</v>
      </c>
      <c r="S57" s="2"/>
      <c r="T57" s="2">
        <f>SUM(OSRRefT22_9x_0)</f>
        <v>70000</v>
      </c>
      <c r="U57" s="2"/>
      <c r="V57" s="6">
        <f t="shared" si="13"/>
        <v>0</v>
      </c>
      <c r="W57" s="2"/>
      <c r="X57" s="2">
        <f t="shared" si="14"/>
        <v>-2257.0599999999977</v>
      </c>
      <c r="Y57" s="2"/>
      <c r="Z57" s="6">
        <f t="shared" si="15"/>
        <v>-3.2243714285714251E-2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7">
        <v>7927.75</v>
      </c>
      <c r="E58" s="3"/>
      <c r="F58" s="8">
        <f t="shared" si="8"/>
        <v>0</v>
      </c>
      <c r="G58" s="3"/>
      <c r="H58" s="7">
        <v>7000</v>
      </c>
      <c r="I58" s="3"/>
      <c r="J58" s="8">
        <f t="shared" si="9"/>
        <v>0</v>
      </c>
      <c r="K58" s="3"/>
      <c r="L58" s="7">
        <f t="shared" si="10"/>
        <v>927.75</v>
      </c>
      <c r="M58" s="3"/>
      <c r="N58" s="8">
        <f t="shared" si="11"/>
        <v>0.13253571428571428</v>
      </c>
      <c r="O58" s="12"/>
      <c r="P58" s="7">
        <v>67310.31</v>
      </c>
      <c r="Q58" s="3"/>
      <c r="R58" s="8">
        <f t="shared" si="12"/>
        <v>0</v>
      </c>
      <c r="S58" s="3"/>
      <c r="T58" s="7">
        <v>70000</v>
      </c>
      <c r="U58" s="3"/>
      <c r="V58" s="8">
        <f t="shared" si="13"/>
        <v>0</v>
      </c>
      <c r="W58" s="3"/>
      <c r="X58" s="7">
        <f t="shared" si="14"/>
        <v>-2689.6900000000023</v>
      </c>
      <c r="Y58" s="3"/>
      <c r="Z58" s="8">
        <f t="shared" si="15"/>
        <v>-3.8424142857142893E-2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>
        <v>432.63</v>
      </c>
      <c r="Q59" s="3"/>
      <c r="R59" s="8">
        <f t="shared" si="12"/>
        <v>0</v>
      </c>
      <c r="S59" s="3"/>
      <c r="T59" s="7"/>
      <c r="U59" s="3"/>
      <c r="V59" s="8">
        <f t="shared" si="13"/>
        <v>0</v>
      </c>
      <c r="W59" s="3"/>
      <c r="X59" s="7">
        <f t="shared" si="14"/>
        <v>432.63</v>
      </c>
      <c r="Y59" s="3"/>
      <c r="Z59" s="8">
        <f t="shared" si="15"/>
        <v>0</v>
      </c>
    </row>
    <row r="60" spans="1:26" s="69" customFormat="1" ht="15" customHeight="1" outlineLevel="1" collapsed="1" x14ac:dyDescent="0.3">
      <c r="A60" s="2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2">
        <f>SUM(OSRRefD22_10x_0)</f>
        <v>0</v>
      </c>
      <c r="E60" s="2"/>
      <c r="F60" s="6">
        <f t="shared" si="8"/>
        <v>0</v>
      </c>
      <c r="G60" s="2"/>
      <c r="H60" s="2">
        <f>SUM(OSRRefH22_10x_0)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SUM(OSRRefP22_10x_0)</f>
        <v>2730.9</v>
      </c>
      <c r="Q60" s="2"/>
      <c r="R60" s="6">
        <f t="shared" si="12"/>
        <v>0</v>
      </c>
      <c r="S60" s="2"/>
      <c r="T60" s="2">
        <f>SUM(OSRRefT22_10x_0)</f>
        <v>1000</v>
      </c>
      <c r="U60" s="2"/>
      <c r="V60" s="6">
        <f t="shared" si="13"/>
        <v>0</v>
      </c>
      <c r="W60" s="2"/>
      <c r="X60" s="2">
        <f t="shared" si="14"/>
        <v>1730.9</v>
      </c>
      <c r="Y60" s="2"/>
      <c r="Z60" s="6">
        <f t="shared" si="15"/>
        <v>1.7309000000000001</v>
      </c>
    </row>
    <row r="61" spans="1:26" s="70" customFormat="1" ht="15" hidden="1" customHeight="1" outlineLevel="2" x14ac:dyDescent="0.3">
      <c r="A61" s="26"/>
      <c r="B61" s="12" t="str">
        <f>CONCATENATE("          ","6258"," - ","MEMBERSHIP DUES")</f>
        <v xml:space="preserve">          6258 - MEMBERSHIP DUES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1452</v>
      </c>
      <c r="Q61" s="3"/>
      <c r="R61" s="8">
        <f t="shared" si="12"/>
        <v>0</v>
      </c>
      <c r="S61" s="3"/>
      <c r="T61" s="7">
        <v>1000</v>
      </c>
      <c r="U61" s="3"/>
      <c r="V61" s="8">
        <f t="shared" si="13"/>
        <v>0</v>
      </c>
      <c r="W61" s="3"/>
      <c r="X61" s="7">
        <f t="shared" si="14"/>
        <v>452</v>
      </c>
      <c r="Y61" s="3"/>
      <c r="Z61" s="8">
        <f t="shared" si="15"/>
        <v>0.45200000000000001</v>
      </c>
    </row>
    <row r="62" spans="1:26" s="70" customFormat="1" ht="15" hidden="1" customHeight="1" outlineLevel="2" x14ac:dyDescent="0.3">
      <c r="A62" s="26"/>
      <c r="B62" s="12" t="str">
        <f>CONCATENATE("          ","6275"," - ","SUBSCRIPTIONS")</f>
        <v xml:space="preserve">          6275 - SUBSCRIPTIONS</v>
      </c>
      <c r="C62" s="12"/>
      <c r="D62" s="7"/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1278.9000000000001</v>
      </c>
      <c r="Q62" s="3"/>
      <c r="R62" s="8">
        <f t="shared" si="12"/>
        <v>0</v>
      </c>
      <c r="S62" s="3"/>
      <c r="T62" s="7"/>
      <c r="U62" s="3"/>
      <c r="V62" s="8">
        <f t="shared" si="13"/>
        <v>0</v>
      </c>
      <c r="W62" s="3"/>
      <c r="X62" s="7">
        <f t="shared" si="14"/>
        <v>1278.9000000000001</v>
      </c>
      <c r="Y62" s="3"/>
      <c r="Z62" s="8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1188.9299999999998</v>
      </c>
      <c r="E63" s="2"/>
      <c r="F63" s="6">
        <f t="shared" si="8"/>
        <v>0</v>
      </c>
      <c r="G63" s="2"/>
      <c r="H63" s="2">
        <f>SUM(OSRRefH22_11x_0)</f>
        <v>1834</v>
      </c>
      <c r="I63" s="2"/>
      <c r="J63" s="6">
        <f t="shared" si="9"/>
        <v>0</v>
      </c>
      <c r="K63" s="2"/>
      <c r="L63" s="2">
        <f t="shared" si="10"/>
        <v>-645.07000000000016</v>
      </c>
      <c r="M63" s="2"/>
      <c r="N63" s="6">
        <f t="shared" si="11"/>
        <v>-0.35172846237731742</v>
      </c>
      <c r="O63" s="14"/>
      <c r="P63" s="2">
        <f>SUM(OSRRefP22_11x_0)</f>
        <v>18214.620000000003</v>
      </c>
      <c r="Q63" s="2"/>
      <c r="R63" s="6">
        <f t="shared" si="12"/>
        <v>0</v>
      </c>
      <c r="S63" s="2"/>
      <c r="T63" s="2">
        <f>SUM(OSRRefT22_11x_0)</f>
        <v>18340</v>
      </c>
      <c r="U63" s="2"/>
      <c r="V63" s="6">
        <f t="shared" si="13"/>
        <v>0</v>
      </c>
      <c r="W63" s="2"/>
      <c r="X63" s="2">
        <f t="shared" si="14"/>
        <v>-125.37999999999738</v>
      </c>
      <c r="Y63" s="2"/>
      <c r="Z63" s="6">
        <f t="shared" si="15"/>
        <v>-6.836423118865724E-3</v>
      </c>
    </row>
    <row r="64" spans="1:26" s="70" customFormat="1" ht="15" hidden="1" customHeight="1" outlineLevel="2" x14ac:dyDescent="0.3">
      <c r="A64" s="26"/>
      <c r="B64" s="12" t="str">
        <f>CONCATENATE("          ","6235"," - ","COVID-19 EXPENSES")</f>
        <v xml:space="preserve">          6235 - COVID-19 EXPENSES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2636.13</v>
      </c>
      <c r="Q64" s="3"/>
      <c r="R64" s="8">
        <f t="shared" si="12"/>
        <v>0</v>
      </c>
      <c r="S64" s="3"/>
      <c r="T64" s="7"/>
      <c r="U64" s="3"/>
      <c r="V64" s="8">
        <f t="shared" si="13"/>
        <v>0</v>
      </c>
      <c r="W64" s="3"/>
      <c r="X64" s="7">
        <f t="shared" si="14"/>
        <v>2636.13</v>
      </c>
      <c r="Y64" s="3"/>
      <c r="Z64" s="8">
        <f t="shared" si="15"/>
        <v>0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>
        <v>117.79</v>
      </c>
      <c r="E65" s="3"/>
      <c r="F65" s="8">
        <f t="shared" si="8"/>
        <v>0</v>
      </c>
      <c r="G65" s="3"/>
      <c r="H65" s="7">
        <v>1417</v>
      </c>
      <c r="I65" s="3"/>
      <c r="J65" s="8">
        <f t="shared" si="9"/>
        <v>0</v>
      </c>
      <c r="K65" s="3"/>
      <c r="L65" s="7">
        <f t="shared" si="10"/>
        <v>-1299.21</v>
      </c>
      <c r="M65" s="3"/>
      <c r="N65" s="8">
        <f t="shared" si="11"/>
        <v>-0.91687367678193366</v>
      </c>
      <c r="O65" s="12"/>
      <c r="P65" s="7">
        <v>2571.06</v>
      </c>
      <c r="Q65" s="3"/>
      <c r="R65" s="8">
        <f t="shared" si="12"/>
        <v>0</v>
      </c>
      <c r="S65" s="3"/>
      <c r="T65" s="7">
        <v>14170</v>
      </c>
      <c r="U65" s="3"/>
      <c r="V65" s="8">
        <f t="shared" si="13"/>
        <v>0</v>
      </c>
      <c r="W65" s="3"/>
      <c r="X65" s="7">
        <f t="shared" si="14"/>
        <v>-11598.94</v>
      </c>
      <c r="Y65" s="3"/>
      <c r="Z65" s="8">
        <f t="shared" si="15"/>
        <v>-0.81855610444601279</v>
      </c>
    </row>
    <row r="66" spans="1:26" s="70" customFormat="1" ht="15" hidden="1" customHeight="1" outlineLevel="2" x14ac:dyDescent="0.3">
      <c r="A66" s="26"/>
      <c r="B66" s="12" t="str">
        <f>CONCATENATE("          ","6244"," - ","SAFETY SUPPLY EXPENSE")</f>
        <v xml:space="preserve">          6244 - SAFETY SUPPLY EXPENSE</v>
      </c>
      <c r="C66" s="12"/>
      <c r="D66" s="7">
        <v>511.27</v>
      </c>
      <c r="E66" s="3"/>
      <c r="F66" s="8">
        <f t="shared" si="8"/>
        <v>0</v>
      </c>
      <c r="G66" s="3"/>
      <c r="H66" s="7">
        <v>417</v>
      </c>
      <c r="I66" s="3"/>
      <c r="J66" s="8">
        <f t="shared" si="9"/>
        <v>0</v>
      </c>
      <c r="K66" s="3"/>
      <c r="L66" s="7">
        <f t="shared" si="10"/>
        <v>94.269999999999982</v>
      </c>
      <c r="M66" s="3"/>
      <c r="N66" s="8">
        <f t="shared" si="11"/>
        <v>0.22606714628297359</v>
      </c>
      <c r="O66" s="12"/>
      <c r="P66" s="7">
        <v>1161.27</v>
      </c>
      <c r="Q66" s="3"/>
      <c r="R66" s="8">
        <f t="shared" si="12"/>
        <v>0</v>
      </c>
      <c r="S66" s="3"/>
      <c r="T66" s="7">
        <v>4170</v>
      </c>
      <c r="U66" s="3"/>
      <c r="V66" s="8">
        <f t="shared" si="13"/>
        <v>0</v>
      </c>
      <c r="W66" s="3"/>
      <c r="X66" s="7">
        <f t="shared" si="14"/>
        <v>-3008.73</v>
      </c>
      <c r="Y66" s="3"/>
      <c r="Z66" s="8">
        <f t="shared" si="15"/>
        <v>-0.72151798561151081</v>
      </c>
    </row>
    <row r="67" spans="1:26" s="70" customFormat="1" ht="15" hidden="1" customHeight="1" outlineLevel="2" x14ac:dyDescent="0.3">
      <c r="A67" s="26"/>
      <c r="B67" s="12" t="str">
        <f>CONCATENATE("          ","6248"," - ","UNIFORMS")</f>
        <v xml:space="preserve">          6248 - UNIFORMS</v>
      </c>
      <c r="C67" s="12"/>
      <c r="D67" s="7">
        <v>559.87</v>
      </c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559.87</v>
      </c>
      <c r="M67" s="3"/>
      <c r="N67" s="8">
        <f t="shared" si="11"/>
        <v>0</v>
      </c>
      <c r="O67" s="12"/>
      <c r="P67" s="7">
        <v>11846.16</v>
      </c>
      <c r="Q67" s="3"/>
      <c r="R67" s="8">
        <f t="shared" si="12"/>
        <v>0</v>
      </c>
      <c r="S67" s="3"/>
      <c r="T67" s="7"/>
      <c r="U67" s="3"/>
      <c r="V67" s="8">
        <f t="shared" si="13"/>
        <v>0</v>
      </c>
      <c r="W67" s="3"/>
      <c r="X67" s="7">
        <f t="shared" si="14"/>
        <v>11846.16</v>
      </c>
      <c r="Y67" s="3"/>
      <c r="Z67" s="8">
        <f t="shared" si="15"/>
        <v>0</v>
      </c>
    </row>
    <row r="68" spans="1:26" s="69" customFormat="1" ht="15" customHeight="1" outlineLevel="1" collapsed="1" x14ac:dyDescent="0.3">
      <c r="A68" s="25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SUM(OSRRefD22_12x_0)</f>
        <v>880.7</v>
      </c>
      <c r="E68" s="2"/>
      <c r="F68" s="6">
        <f t="shared" si="8"/>
        <v>0</v>
      </c>
      <c r="G68" s="2"/>
      <c r="H68" s="2">
        <f>SUM(OSRRefH22_12x_0)</f>
        <v>283</v>
      </c>
      <c r="I68" s="2"/>
      <c r="J68" s="6">
        <f t="shared" si="9"/>
        <v>0</v>
      </c>
      <c r="K68" s="2"/>
      <c r="L68" s="2">
        <f t="shared" si="10"/>
        <v>597.70000000000005</v>
      </c>
      <c r="M68" s="2"/>
      <c r="N68" s="6">
        <f t="shared" si="11"/>
        <v>2.1120141342756185</v>
      </c>
      <c r="O68" s="14"/>
      <c r="P68" s="2">
        <f>SUM(OSRRefP22_12x_0)</f>
        <v>5431.9</v>
      </c>
      <c r="Q68" s="2"/>
      <c r="R68" s="6">
        <f t="shared" si="12"/>
        <v>0</v>
      </c>
      <c r="S68" s="2"/>
      <c r="T68" s="2">
        <f>SUM(OSRRefT22_12x_0)</f>
        <v>2830</v>
      </c>
      <c r="U68" s="2"/>
      <c r="V68" s="6">
        <f t="shared" si="13"/>
        <v>0</v>
      </c>
      <c r="W68" s="2"/>
      <c r="X68" s="2">
        <f t="shared" si="14"/>
        <v>2601.8999999999996</v>
      </c>
      <c r="Y68" s="2"/>
      <c r="Z68" s="6">
        <f t="shared" si="15"/>
        <v>0.91939929328621894</v>
      </c>
    </row>
    <row r="69" spans="1:26" s="70" customFormat="1" ht="15" hidden="1" customHeight="1" outlineLevel="2" x14ac:dyDescent="0.3">
      <c r="A69" s="26"/>
      <c r="B69" s="12" t="str">
        <f>CONCATENATE("          ","6309"," - ","TELEPHONE")</f>
        <v xml:space="preserve">          6309 - TELEPHONE</v>
      </c>
      <c r="C69" s="12"/>
      <c r="D69" s="7">
        <v>880.7</v>
      </c>
      <c r="E69" s="3"/>
      <c r="F69" s="8">
        <f t="shared" si="8"/>
        <v>0</v>
      </c>
      <c r="G69" s="3"/>
      <c r="H69" s="7">
        <v>283</v>
      </c>
      <c r="I69" s="3"/>
      <c r="J69" s="8">
        <f t="shared" si="9"/>
        <v>0</v>
      </c>
      <c r="K69" s="3"/>
      <c r="L69" s="7">
        <f t="shared" si="10"/>
        <v>597.70000000000005</v>
      </c>
      <c r="M69" s="3"/>
      <c r="N69" s="8">
        <f t="shared" si="11"/>
        <v>2.1120141342756185</v>
      </c>
      <c r="O69" s="12"/>
      <c r="P69" s="7">
        <v>5431.9</v>
      </c>
      <c r="Q69" s="3"/>
      <c r="R69" s="8">
        <f t="shared" si="12"/>
        <v>0</v>
      </c>
      <c r="S69" s="3"/>
      <c r="T69" s="7">
        <v>2830</v>
      </c>
      <c r="U69" s="3"/>
      <c r="V69" s="8">
        <f t="shared" si="13"/>
        <v>0</v>
      </c>
      <c r="W69" s="3"/>
      <c r="X69" s="7">
        <f t="shared" si="14"/>
        <v>2601.8999999999996</v>
      </c>
      <c r="Y69" s="3"/>
      <c r="Z69" s="8">
        <f t="shared" si="15"/>
        <v>0.91939929328621894</v>
      </c>
    </row>
    <row r="70" spans="1:26" s="69" customFormat="1" ht="15" customHeight="1" outlineLevel="1" collapsed="1" x14ac:dyDescent="0.3">
      <c r="A70" s="25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SUM(OSRRefD22_13x_0)</f>
        <v>0</v>
      </c>
      <c r="E70" s="2"/>
      <c r="F70" s="6">
        <f t="shared" si="8"/>
        <v>0</v>
      </c>
      <c r="G70" s="2"/>
      <c r="H70" s="2">
        <f>SUM(OSRRefH22_13x_0)</f>
        <v>333</v>
      </c>
      <c r="I70" s="2"/>
      <c r="J70" s="6">
        <f t="shared" si="9"/>
        <v>0</v>
      </c>
      <c r="K70" s="2"/>
      <c r="L70" s="2">
        <f t="shared" si="10"/>
        <v>-333</v>
      </c>
      <c r="M70" s="2"/>
      <c r="N70" s="6">
        <f t="shared" si="11"/>
        <v>-1</v>
      </c>
      <c r="O70" s="14"/>
      <c r="P70" s="2">
        <f>SUM(OSRRefP22_13x_0)</f>
        <v>475</v>
      </c>
      <c r="Q70" s="2"/>
      <c r="R70" s="6">
        <f t="shared" si="12"/>
        <v>0</v>
      </c>
      <c r="S70" s="2"/>
      <c r="T70" s="2">
        <f>SUM(OSRRefT22_13x_0)</f>
        <v>3330</v>
      </c>
      <c r="U70" s="2"/>
      <c r="V70" s="6">
        <f t="shared" si="13"/>
        <v>0</v>
      </c>
      <c r="W70" s="2"/>
      <c r="X70" s="2">
        <f t="shared" si="14"/>
        <v>-2855</v>
      </c>
      <c r="Y70" s="2"/>
      <c r="Z70" s="6">
        <f t="shared" si="15"/>
        <v>-0.85735735735735741</v>
      </c>
    </row>
    <row r="71" spans="1:26" s="70" customFormat="1" ht="15" hidden="1" customHeight="1" outlineLevel="2" x14ac:dyDescent="0.3">
      <c r="A71" s="26"/>
      <c r="B71" s="12" t="str">
        <f>CONCATENATE("          ","6376"," - ","TRAINING")</f>
        <v xml:space="preserve">          6376 - TRAINING</v>
      </c>
      <c r="C71" s="12"/>
      <c r="D71" s="7"/>
      <c r="E71" s="3"/>
      <c r="F71" s="8">
        <f t="shared" si="8"/>
        <v>0</v>
      </c>
      <c r="G71" s="3"/>
      <c r="H71" s="7">
        <v>333</v>
      </c>
      <c r="I71" s="3"/>
      <c r="J71" s="8">
        <f t="shared" si="9"/>
        <v>0</v>
      </c>
      <c r="K71" s="3"/>
      <c r="L71" s="7">
        <f t="shared" si="10"/>
        <v>-333</v>
      </c>
      <c r="M71" s="3"/>
      <c r="N71" s="8">
        <f t="shared" si="11"/>
        <v>-1</v>
      </c>
      <c r="O71" s="12"/>
      <c r="P71" s="7">
        <v>475</v>
      </c>
      <c r="Q71" s="3"/>
      <c r="R71" s="8">
        <f t="shared" si="12"/>
        <v>0</v>
      </c>
      <c r="S71" s="3"/>
      <c r="T71" s="7">
        <v>3330</v>
      </c>
      <c r="U71" s="3"/>
      <c r="V71" s="8">
        <f t="shared" si="13"/>
        <v>0</v>
      </c>
      <c r="W71" s="3"/>
      <c r="X71" s="7">
        <f t="shared" si="14"/>
        <v>-2855</v>
      </c>
      <c r="Y71" s="3"/>
      <c r="Z71" s="8">
        <f t="shared" si="15"/>
        <v>-0.85735735735735741</v>
      </c>
    </row>
    <row r="72" spans="1:26" s="69" customFormat="1" ht="15" customHeight="1" outlineLevel="1" collapsed="1" x14ac:dyDescent="0.3">
      <c r="A72" s="25"/>
      <c r="B72" s="14" t="str">
        <f>CONCATENATE("     ","Travel                                            ")</f>
        <v xml:space="preserve">     Travel                                            </v>
      </c>
      <c r="C72" s="14"/>
      <c r="D72" s="2">
        <f>SUM(OSRRefD22_14x_0)</f>
        <v>0</v>
      </c>
      <c r="E72" s="2"/>
      <c r="F72" s="6">
        <f t="shared" si="8"/>
        <v>0</v>
      </c>
      <c r="G72" s="2"/>
      <c r="H72" s="2">
        <f>SUM(OSRRefH22_14x_0)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SUM(OSRRefP22_14x_0)</f>
        <v>0</v>
      </c>
      <c r="Q72" s="2"/>
      <c r="R72" s="6">
        <f t="shared" si="12"/>
        <v>0</v>
      </c>
      <c r="S72" s="2"/>
      <c r="T72" s="2">
        <f>SUM(OSRRefT22_14x_0)</f>
        <v>720</v>
      </c>
      <c r="U72" s="2"/>
      <c r="V72" s="6">
        <f t="shared" si="13"/>
        <v>0</v>
      </c>
      <c r="W72" s="2"/>
      <c r="X72" s="2">
        <f t="shared" si="14"/>
        <v>-720</v>
      </c>
      <c r="Y72" s="2"/>
      <c r="Z72" s="6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","6292"," - ","TRAVEL/CONFERENCE")</f>
        <v xml:space="preserve">          6292 - TRAVEL/CONFERENCE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/>
      <c r="Q73" s="3"/>
      <c r="R73" s="8">
        <f t="shared" si="12"/>
        <v>0</v>
      </c>
      <c r="S73" s="3"/>
      <c r="T73" s="7">
        <v>720</v>
      </c>
      <c r="U73" s="3"/>
      <c r="V73" s="8">
        <f t="shared" si="13"/>
        <v>0</v>
      </c>
      <c r="W73" s="3"/>
      <c r="X73" s="7">
        <f t="shared" si="14"/>
        <v>-720</v>
      </c>
      <c r="Y73" s="3"/>
      <c r="Z73" s="8">
        <f t="shared" si="15"/>
        <v>-1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x14ac:dyDescent="0.3">
      <c r="A75" s="11"/>
      <c r="B75" s="28" t="s">
        <v>291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11"/>
      <c r="B77" s="27" t="s">
        <v>292</v>
      </c>
      <c r="C77" s="27"/>
      <c r="D77" s="21">
        <f>+D16-D18+D75</f>
        <v>-68880.219999999987</v>
      </c>
      <c r="E77" s="15"/>
      <c r="F77" s="23">
        <f>IF(D$12=0,0,D77/D$12)</f>
        <v>0</v>
      </c>
      <c r="G77" s="15"/>
      <c r="H77" s="21">
        <f>+H16-H18+H75</f>
        <v>-54327.831462107686</v>
      </c>
      <c r="I77" s="15"/>
      <c r="J77" s="23">
        <f>IF(H$12=0,0,H77/H$12)</f>
        <v>0</v>
      </c>
      <c r="K77" s="17"/>
      <c r="L77" s="21">
        <f>+D77-H77</f>
        <v>-14552.388537892301</v>
      </c>
      <c r="M77" s="17"/>
      <c r="N77" s="23">
        <f>IF(H77=0,0,L77/H77)</f>
        <v>0.26786249600340167</v>
      </c>
      <c r="O77" s="28"/>
      <c r="P77" s="21">
        <f>+P16-P18+P75</f>
        <v>-568219.54000000015</v>
      </c>
      <c r="Q77" s="15"/>
      <c r="R77" s="23">
        <f>IF(P$12=0,0,P77/P$12)</f>
        <v>0</v>
      </c>
      <c r="S77" s="15"/>
      <c r="T77" s="21">
        <f>+T16-T18+T75</f>
        <v>-497296.9168665476</v>
      </c>
      <c r="U77" s="15"/>
      <c r="V77" s="23">
        <f>IF(T$12=0,0,T77/T$12)</f>
        <v>0</v>
      </c>
      <c r="W77" s="17"/>
      <c r="X77" s="21">
        <f>+P77-T77</f>
        <v>-70922.623133452551</v>
      </c>
      <c r="Y77" s="17"/>
      <c r="Z77" s="23">
        <f>IF(T77=0,0,X77/T77)</f>
        <v>0.14261625344539394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49"/>
      <c r="B79" s="11" t="s">
        <v>293</v>
      </c>
      <c r="C79" s="11"/>
      <c r="D79" s="5"/>
      <c r="E79" s="5"/>
      <c r="F79" s="13">
        <f>IF(D$12=0,0,D79/D$12)</f>
        <v>0</v>
      </c>
      <c r="G79" s="5"/>
      <c r="H79" s="5"/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/>
      <c r="Q79" s="5"/>
      <c r="R79" s="13">
        <f>IF(P$12=0,0,P79/P$12)</f>
        <v>0</v>
      </c>
      <c r="S79" s="5"/>
      <c r="T79" s="5"/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294</v>
      </c>
      <c r="C81" s="27"/>
      <c r="D81" s="29">
        <f>+D77-D79</f>
        <v>-68880.219999999987</v>
      </c>
      <c r="E81" s="15"/>
      <c r="F81" s="30">
        <f>IF(D$12=0,0,D81/D$12)</f>
        <v>0</v>
      </c>
      <c r="G81" s="15"/>
      <c r="H81" s="29">
        <f>+H77-H79</f>
        <v>-54327.831462107686</v>
      </c>
      <c r="I81" s="15"/>
      <c r="J81" s="30">
        <f>IF(H$12=0,0,H81/H$12)</f>
        <v>0</v>
      </c>
      <c r="K81" s="17"/>
      <c r="L81" s="29">
        <f>D81-H81</f>
        <v>-14552.388537892301</v>
      </c>
      <c r="M81" s="17"/>
      <c r="N81" s="30">
        <f>IF(H81=0,0,L81/H81)</f>
        <v>0.26786249600340167</v>
      </c>
      <c r="O81" s="28"/>
      <c r="P81" s="29">
        <f>+P77-P79</f>
        <v>-568219.54000000015</v>
      </c>
      <c r="Q81" s="15"/>
      <c r="R81" s="30">
        <f>IF(P$12=0,0,P81/P$12)</f>
        <v>0</v>
      </c>
      <c r="S81" s="15"/>
      <c r="T81" s="29">
        <f>+T77-T79</f>
        <v>-497296.9168665476</v>
      </c>
      <c r="U81" s="15"/>
      <c r="V81" s="30">
        <f>IF(T$12=0,0,T81/T$12)</f>
        <v>0</v>
      </c>
      <c r="W81" s="17"/>
      <c r="X81" s="29">
        <f>P81-T81</f>
        <v>-70922.623133452551</v>
      </c>
      <c r="Y81" s="17"/>
      <c r="Z81" s="30">
        <f>IF(T81=0,0,X81/T81)</f>
        <v>0.14261625344539394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297</v>
      </c>
      <c r="C84" s="27"/>
      <c r="D84" s="32">
        <f>SUM(D81:D83)</f>
        <v>-68880.219999999987</v>
      </c>
      <c r="E84" s="15"/>
      <c r="F84" s="34">
        <f>IF(D$12=0,0,D84/D$12)</f>
        <v>0</v>
      </c>
      <c r="G84" s="15"/>
      <c r="H84" s="32">
        <f>SUM(H81:H83)</f>
        <v>-54327.831462107686</v>
      </c>
      <c r="I84" s="15"/>
      <c r="J84" s="34">
        <f>IF(H$12=0,0,H84/H$12)</f>
        <v>0</v>
      </c>
      <c r="K84" s="17"/>
      <c r="L84" s="32">
        <f>+D84-H84</f>
        <v>-14552.388537892301</v>
      </c>
      <c r="M84" s="17"/>
      <c r="N84" s="34">
        <f>IF(H84=0,0,L84/H84)</f>
        <v>0.26786249600340167</v>
      </c>
      <c r="O84" s="28"/>
      <c r="P84" s="32">
        <f>SUM(P81:P83)</f>
        <v>-568219.54000000015</v>
      </c>
      <c r="Q84" s="15"/>
      <c r="R84" s="34">
        <f>IF(P$12=0,0,P84/P$12)</f>
        <v>0</v>
      </c>
      <c r="S84" s="15"/>
      <c r="T84" s="32">
        <f>SUM(T81:T83)</f>
        <v>-497296.9168665476</v>
      </c>
      <c r="U84" s="15"/>
      <c r="V84" s="34">
        <f>IF(T$12=0,0,T84/T$12)</f>
        <v>0</v>
      </c>
      <c r="W84" s="17"/>
      <c r="X84" s="32">
        <f>+P84-T84</f>
        <v>-70922.623133452551</v>
      </c>
      <c r="Y84" s="17"/>
      <c r="Z84" s="34">
        <f>IF(T84=0,0,X84/T84)</f>
        <v>0.14261625344539394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6">
        <v>44694.888552430559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0" t="s">
        <v>298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1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FBF24-8CED-9029-594B-FD28BECE6AE8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","204"," - ","Information Technology")</f>
        <v>Department 204 - Information Technology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47564.81</v>
      </c>
      <c r="E18" s="22"/>
      <c r="F18" s="33">
        <f t="shared" ref="F18:F63" si="0">IF(D$12=0,0,D18/D$12)</f>
        <v>0</v>
      </c>
      <c r="G18" s="22"/>
      <c r="H18" s="22" cm="1">
        <f t="array" ref="H18">SUM(OSRRefH22x_0)</f>
        <v>53034.082559230737</v>
      </c>
      <c r="I18" s="22"/>
      <c r="J18" s="33">
        <f t="shared" ref="J18:J63" si="1">IF(H$12=0,0,H18/H$12)</f>
        <v>0</v>
      </c>
      <c r="K18" s="5"/>
      <c r="L18" s="22">
        <f t="shared" ref="L18:L63" si="2">+D18-H18</f>
        <v>-5469.2725592307397</v>
      </c>
      <c r="M18" s="5"/>
      <c r="N18" s="33">
        <f t="shared" ref="N18:N63" si="3">IF(H18=0,0,L18/H18)</f>
        <v>-0.1031275039616726</v>
      </c>
      <c r="O18" s="11"/>
      <c r="P18" s="22" cm="1">
        <f t="array" ref="P18">SUM(OSRRefP22x_0)</f>
        <v>456629.43000000005</v>
      </c>
      <c r="Q18" s="22"/>
      <c r="R18" s="33">
        <f t="shared" ref="R18:R63" si="4">IF(P$12=0,0,P18/P$12)</f>
        <v>0</v>
      </c>
      <c r="S18" s="22"/>
      <c r="T18" s="22" cm="1">
        <f t="array" ref="T18">SUM(OSRRefT22x_0)</f>
        <v>507573.32652123034</v>
      </c>
      <c r="U18" s="22"/>
      <c r="V18" s="33">
        <f t="shared" ref="V18:V63" si="5">IF(T$12=0,0,T18/T$12)</f>
        <v>0</v>
      </c>
      <c r="W18" s="5"/>
      <c r="X18" s="22">
        <f t="shared" ref="X18:X63" si="6">+P18-T18</f>
        <v>-50943.896521230286</v>
      </c>
      <c r="Y18" s="5"/>
      <c r="Z18" s="33">
        <f t="shared" ref="Z18:Z63" si="7">IF(T18=0,0,X18/T18)</f>
        <v>-0.10036756042794036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13244.4</v>
      </c>
      <c r="E19" s="2"/>
      <c r="F19" s="6">
        <f t="shared" si="0"/>
        <v>0</v>
      </c>
      <c r="G19" s="2"/>
      <c r="H19" s="2">
        <f>SUM(OSRRefH22_0x_0)</f>
        <v>12494.121020769242</v>
      </c>
      <c r="I19" s="2"/>
      <c r="J19" s="6">
        <f t="shared" si="1"/>
        <v>0</v>
      </c>
      <c r="K19" s="2"/>
      <c r="L19" s="2">
        <f t="shared" si="2"/>
        <v>750.27897923075761</v>
      </c>
      <c r="M19" s="2"/>
      <c r="N19" s="6">
        <f t="shared" si="3"/>
        <v>6.005056121863659E-2</v>
      </c>
      <c r="O19" s="14"/>
      <c r="P19" s="2">
        <f>SUM(OSRRefP22_0x_0)</f>
        <v>115372.12999999999</v>
      </c>
      <c r="Q19" s="2"/>
      <c r="R19" s="6">
        <f t="shared" si="4"/>
        <v>0</v>
      </c>
      <c r="S19" s="2"/>
      <c r="T19" s="2">
        <f>SUM(OSRRefT22_0x_0)</f>
        <v>116711.46498276931</v>
      </c>
      <c r="U19" s="2"/>
      <c r="V19" s="6">
        <f t="shared" si="5"/>
        <v>0</v>
      </c>
      <c r="W19" s="2"/>
      <c r="X19" s="2">
        <f t="shared" si="6"/>
        <v>-1339.3349827693164</v>
      </c>
      <c r="Y19" s="2"/>
      <c r="Z19" s="6">
        <f t="shared" si="7"/>
        <v>-1.1475607670309418E-2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2221.14</v>
      </c>
      <c r="E20" s="3"/>
      <c r="F20" s="8">
        <f t="shared" si="0"/>
        <v>0</v>
      </c>
      <c r="G20" s="3"/>
      <c r="H20" s="7">
        <v>2263.5160361538501</v>
      </c>
      <c r="I20" s="3"/>
      <c r="J20" s="8">
        <f t="shared" si="1"/>
        <v>0</v>
      </c>
      <c r="K20" s="3"/>
      <c r="L20" s="7">
        <f t="shared" si="2"/>
        <v>-42.376036153850237</v>
      </c>
      <c r="M20" s="3"/>
      <c r="N20" s="8">
        <f t="shared" si="3"/>
        <v>-1.8721332421331234E-2</v>
      </c>
      <c r="O20" s="12"/>
      <c r="P20" s="7">
        <v>15988.11</v>
      </c>
      <c r="Q20" s="3"/>
      <c r="R20" s="8">
        <f t="shared" si="4"/>
        <v>0</v>
      </c>
      <c r="S20" s="3"/>
      <c r="T20" s="7">
        <v>19918.9411181539</v>
      </c>
      <c r="U20" s="3"/>
      <c r="V20" s="8">
        <f t="shared" si="5"/>
        <v>0</v>
      </c>
      <c r="W20" s="3"/>
      <c r="X20" s="7">
        <f t="shared" si="6"/>
        <v>-3930.8311181538993</v>
      </c>
      <c r="Y20" s="3"/>
      <c r="Z20" s="8">
        <f t="shared" si="7"/>
        <v>-0.1973413694451551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248.65</v>
      </c>
      <c r="E21" s="3"/>
      <c r="F21" s="8">
        <f t="shared" si="0"/>
        <v>0</v>
      </c>
      <c r="G21" s="3"/>
      <c r="H21" s="7">
        <v>91.688223076923094</v>
      </c>
      <c r="I21" s="3"/>
      <c r="J21" s="8">
        <f t="shared" si="1"/>
        <v>0</v>
      </c>
      <c r="K21" s="3"/>
      <c r="L21" s="7">
        <f t="shared" si="2"/>
        <v>156.96177692307691</v>
      </c>
      <c r="M21" s="3"/>
      <c r="N21" s="8">
        <f t="shared" si="3"/>
        <v>1.7119077200502804</v>
      </c>
      <c r="O21" s="12"/>
      <c r="P21" s="7">
        <v>2562.91</v>
      </c>
      <c r="Q21" s="3"/>
      <c r="R21" s="8">
        <f t="shared" si="4"/>
        <v>0</v>
      </c>
      <c r="S21" s="3"/>
      <c r="T21" s="7">
        <v>806.856363076923</v>
      </c>
      <c r="U21" s="3"/>
      <c r="V21" s="8">
        <f t="shared" si="5"/>
        <v>0</v>
      </c>
      <c r="W21" s="3"/>
      <c r="X21" s="7">
        <f t="shared" si="6"/>
        <v>1756.0536369230767</v>
      </c>
      <c r="Y21" s="3"/>
      <c r="Z21" s="8">
        <f t="shared" si="7"/>
        <v>2.176414188798633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4446.67</v>
      </c>
      <c r="E22" s="3"/>
      <c r="F22" s="8">
        <f t="shared" si="0"/>
        <v>0</v>
      </c>
      <c r="G22" s="3"/>
      <c r="H22" s="7">
        <v>5336</v>
      </c>
      <c r="I22" s="3"/>
      <c r="J22" s="8">
        <f t="shared" si="1"/>
        <v>0</v>
      </c>
      <c r="K22" s="3"/>
      <c r="L22" s="7">
        <f t="shared" si="2"/>
        <v>-889.32999999999993</v>
      </c>
      <c r="M22" s="3"/>
      <c r="N22" s="8">
        <f t="shared" si="3"/>
        <v>-0.16666604197901047</v>
      </c>
      <c r="O22" s="12"/>
      <c r="P22" s="7">
        <v>46820.05</v>
      </c>
      <c r="Q22" s="3"/>
      <c r="R22" s="8">
        <f t="shared" si="4"/>
        <v>0</v>
      </c>
      <c r="S22" s="3"/>
      <c r="T22" s="7">
        <v>53360</v>
      </c>
      <c r="U22" s="3"/>
      <c r="V22" s="8">
        <f t="shared" si="5"/>
        <v>0</v>
      </c>
      <c r="W22" s="3"/>
      <c r="X22" s="7">
        <f t="shared" si="6"/>
        <v>-6539.9499999999971</v>
      </c>
      <c r="Y22" s="3"/>
      <c r="Z22" s="8">
        <f t="shared" si="7"/>
        <v>-0.12256278110944523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50.12</v>
      </c>
      <c r="E23" s="3"/>
      <c r="F23" s="8">
        <f t="shared" si="0"/>
        <v>0</v>
      </c>
      <c r="G23" s="3"/>
      <c r="H23" s="7">
        <v>62.111376923076897</v>
      </c>
      <c r="I23" s="3"/>
      <c r="J23" s="8">
        <f t="shared" si="1"/>
        <v>0</v>
      </c>
      <c r="K23" s="3"/>
      <c r="L23" s="7">
        <f t="shared" si="2"/>
        <v>-11.991376923076899</v>
      </c>
      <c r="M23" s="3"/>
      <c r="N23" s="8">
        <f t="shared" si="3"/>
        <v>-0.19306248737534615</v>
      </c>
      <c r="O23" s="12"/>
      <c r="P23" s="7">
        <v>516.55999999999995</v>
      </c>
      <c r="Q23" s="3"/>
      <c r="R23" s="8">
        <f t="shared" si="4"/>
        <v>0</v>
      </c>
      <c r="S23" s="3"/>
      <c r="T23" s="7">
        <v>546.58011692307696</v>
      </c>
      <c r="U23" s="3"/>
      <c r="V23" s="8">
        <f t="shared" si="5"/>
        <v>0</v>
      </c>
      <c r="W23" s="3"/>
      <c r="X23" s="7">
        <f t="shared" si="6"/>
        <v>-30.020116923077012</v>
      </c>
      <c r="Y23" s="3"/>
      <c r="Z23" s="8">
        <f t="shared" si="7"/>
        <v>-5.492354367383967E-2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2336.54</v>
      </c>
      <c r="E24" s="3"/>
      <c r="F24" s="8">
        <f t="shared" si="0"/>
        <v>0</v>
      </c>
      <c r="G24" s="3"/>
      <c r="H24" s="7">
        <v>1958.98076923077</v>
      </c>
      <c r="I24" s="3"/>
      <c r="J24" s="8">
        <f t="shared" si="1"/>
        <v>0</v>
      </c>
      <c r="K24" s="3"/>
      <c r="L24" s="7">
        <f t="shared" si="2"/>
        <v>377.55923076923</v>
      </c>
      <c r="M24" s="3"/>
      <c r="N24" s="8">
        <f t="shared" si="3"/>
        <v>0.19273248451412089</v>
      </c>
      <c r="O24" s="12"/>
      <c r="P24" s="7">
        <v>20108.5</v>
      </c>
      <c r="Q24" s="3"/>
      <c r="R24" s="8">
        <f t="shared" si="4"/>
        <v>0</v>
      </c>
      <c r="S24" s="3"/>
      <c r="T24" s="7">
        <v>17239.030769230802</v>
      </c>
      <c r="U24" s="3"/>
      <c r="V24" s="8">
        <f t="shared" si="5"/>
        <v>0</v>
      </c>
      <c r="W24" s="3"/>
      <c r="X24" s="7">
        <f t="shared" si="6"/>
        <v>2869.4692307691985</v>
      </c>
      <c r="Y24" s="3"/>
      <c r="Z24" s="8">
        <f t="shared" si="7"/>
        <v>0.16645188869265143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2240.94</v>
      </c>
      <c r="E26" s="3"/>
      <c r="F26" s="8">
        <f t="shared" si="0"/>
        <v>0</v>
      </c>
      <c r="G26" s="3"/>
      <c r="H26" s="7">
        <v>1138.9423076923099</v>
      </c>
      <c r="I26" s="3"/>
      <c r="J26" s="8">
        <f t="shared" si="1"/>
        <v>0</v>
      </c>
      <c r="K26" s="3"/>
      <c r="L26" s="7">
        <f t="shared" si="2"/>
        <v>1101.9976923076902</v>
      </c>
      <c r="M26" s="3"/>
      <c r="N26" s="8">
        <f t="shared" si="3"/>
        <v>0.96756234698184507</v>
      </c>
      <c r="O26" s="12"/>
      <c r="P26" s="7">
        <v>16435.21</v>
      </c>
      <c r="Q26" s="3"/>
      <c r="R26" s="8">
        <f t="shared" si="4"/>
        <v>0</v>
      </c>
      <c r="S26" s="3"/>
      <c r="T26" s="7">
        <v>10022.692307692299</v>
      </c>
      <c r="U26" s="3"/>
      <c r="V26" s="8">
        <f t="shared" si="5"/>
        <v>0</v>
      </c>
      <c r="W26" s="3"/>
      <c r="X26" s="7">
        <f t="shared" si="6"/>
        <v>6412.5176923076997</v>
      </c>
      <c r="Y26" s="3"/>
      <c r="Z26" s="8">
        <f t="shared" si="7"/>
        <v>0.63979991557619376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1316.76</v>
      </c>
      <c r="E27" s="3"/>
      <c r="F27" s="8">
        <f t="shared" si="0"/>
        <v>0</v>
      </c>
      <c r="G27" s="3"/>
      <c r="H27" s="7">
        <v>1342.88230769231</v>
      </c>
      <c r="I27" s="3"/>
      <c r="J27" s="8">
        <f t="shared" si="1"/>
        <v>0</v>
      </c>
      <c r="K27" s="3"/>
      <c r="L27" s="7">
        <f t="shared" si="2"/>
        <v>-26.12230769230996</v>
      </c>
      <c r="M27" s="3"/>
      <c r="N27" s="8">
        <f t="shared" si="3"/>
        <v>-1.9452417790208371E-2</v>
      </c>
      <c r="O27" s="12"/>
      <c r="P27" s="7">
        <v>10399.59</v>
      </c>
      <c r="Q27" s="3"/>
      <c r="R27" s="8">
        <f t="shared" si="4"/>
        <v>0</v>
      </c>
      <c r="S27" s="3"/>
      <c r="T27" s="7">
        <v>11817.3643076923</v>
      </c>
      <c r="U27" s="3"/>
      <c r="V27" s="8">
        <f t="shared" si="5"/>
        <v>0</v>
      </c>
      <c r="W27" s="3"/>
      <c r="X27" s="7">
        <f t="shared" si="6"/>
        <v>-1417.7743076922998</v>
      </c>
      <c r="Y27" s="3"/>
      <c r="Z27" s="8">
        <f t="shared" si="7"/>
        <v>-0.11997381740778061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383.58</v>
      </c>
      <c r="E28" s="3"/>
      <c r="F28" s="8">
        <f t="shared" si="0"/>
        <v>0</v>
      </c>
      <c r="G28" s="3"/>
      <c r="H28" s="7">
        <v>300</v>
      </c>
      <c r="I28" s="3"/>
      <c r="J28" s="8">
        <f t="shared" si="1"/>
        <v>0</v>
      </c>
      <c r="K28" s="3"/>
      <c r="L28" s="7">
        <f t="shared" si="2"/>
        <v>83.579999999999984</v>
      </c>
      <c r="M28" s="3"/>
      <c r="N28" s="8">
        <f t="shared" si="3"/>
        <v>0.27859999999999996</v>
      </c>
      <c r="O28" s="12"/>
      <c r="P28" s="7">
        <v>2541.1999999999998</v>
      </c>
      <c r="Q28" s="3"/>
      <c r="R28" s="8">
        <f t="shared" si="4"/>
        <v>0</v>
      </c>
      <c r="S28" s="3"/>
      <c r="T28" s="7">
        <v>3000</v>
      </c>
      <c r="U28" s="3"/>
      <c r="V28" s="8">
        <f t="shared" si="5"/>
        <v>0</v>
      </c>
      <c r="W28" s="3"/>
      <c r="X28" s="7">
        <f t="shared" si="6"/>
        <v>-458.80000000000018</v>
      </c>
      <c r="Y28" s="3"/>
      <c r="Z28" s="8">
        <f t="shared" si="7"/>
        <v>-0.15293333333333339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20755.439999999999</v>
      </c>
      <c r="E29" s="2"/>
      <c r="F29" s="6">
        <f t="shared" si="0"/>
        <v>0</v>
      </c>
      <c r="G29" s="2"/>
      <c r="H29" s="2">
        <f>SUM(OSRRefH22_1x_0)</f>
        <v>27298.961538461499</v>
      </c>
      <c r="I29" s="2"/>
      <c r="J29" s="6">
        <f t="shared" si="1"/>
        <v>0</v>
      </c>
      <c r="K29" s="2"/>
      <c r="L29" s="2">
        <f t="shared" si="2"/>
        <v>-6543.5215384615003</v>
      </c>
      <c r="M29" s="2"/>
      <c r="N29" s="6">
        <f t="shared" si="3"/>
        <v>-0.23969855150872074</v>
      </c>
      <c r="O29" s="14"/>
      <c r="P29" s="2">
        <f>SUM(OSRRefP22_1x_0)</f>
        <v>189515.64</v>
      </c>
      <c r="Q29" s="2"/>
      <c r="R29" s="6">
        <f t="shared" si="4"/>
        <v>0</v>
      </c>
      <c r="S29" s="2"/>
      <c r="T29" s="2">
        <f>SUM(OSRRefT22_1x_0)</f>
        <v>240230.861538461</v>
      </c>
      <c r="U29" s="2"/>
      <c r="V29" s="6">
        <f t="shared" si="5"/>
        <v>0</v>
      </c>
      <c r="W29" s="2"/>
      <c r="X29" s="2">
        <f t="shared" si="6"/>
        <v>-50715.221538460988</v>
      </c>
      <c r="Y29" s="2"/>
      <c r="Z29" s="6">
        <f t="shared" si="7"/>
        <v>-0.21111035115836468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20755.439999999999</v>
      </c>
      <c r="E31" s="3"/>
      <c r="F31" s="8">
        <f t="shared" si="0"/>
        <v>0</v>
      </c>
      <c r="G31" s="3"/>
      <c r="H31" s="7">
        <v>20500.961538461499</v>
      </c>
      <c r="I31" s="3"/>
      <c r="J31" s="8">
        <f t="shared" si="1"/>
        <v>0</v>
      </c>
      <c r="K31" s="3"/>
      <c r="L31" s="7">
        <f t="shared" si="2"/>
        <v>254.47846153849969</v>
      </c>
      <c r="M31" s="3"/>
      <c r="N31" s="8">
        <f t="shared" si="3"/>
        <v>1.2413001266358997E-2</v>
      </c>
      <c r="O31" s="12"/>
      <c r="P31" s="7">
        <v>189515.64</v>
      </c>
      <c r="Q31" s="3"/>
      <c r="R31" s="8">
        <f t="shared" si="4"/>
        <v>0</v>
      </c>
      <c r="S31" s="3"/>
      <c r="T31" s="7">
        <v>180408.46153846101</v>
      </c>
      <c r="U31" s="3"/>
      <c r="V31" s="8">
        <f t="shared" si="5"/>
        <v>0</v>
      </c>
      <c r="W31" s="3"/>
      <c r="X31" s="7">
        <f t="shared" si="6"/>
        <v>9107.1784615390061</v>
      </c>
      <c r="Y31" s="3"/>
      <c r="Z31" s="8">
        <f t="shared" si="7"/>
        <v>5.0480883124195707E-2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6798</v>
      </c>
      <c r="I33" s="3"/>
      <c r="J33" s="8">
        <f t="shared" si="1"/>
        <v>0</v>
      </c>
      <c r="K33" s="3"/>
      <c r="L33" s="7">
        <f t="shared" si="2"/>
        <v>-6798</v>
      </c>
      <c r="M33" s="3"/>
      <c r="N33" s="8">
        <f t="shared" si="3"/>
        <v>-1</v>
      </c>
      <c r="O33" s="12"/>
      <c r="P33" s="7"/>
      <c r="Q33" s="3"/>
      <c r="R33" s="8">
        <f t="shared" si="4"/>
        <v>0</v>
      </c>
      <c r="S33" s="3"/>
      <c r="T33" s="7">
        <v>59822.400000000001</v>
      </c>
      <c r="U33" s="3"/>
      <c r="V33" s="8">
        <f t="shared" si="5"/>
        <v>0</v>
      </c>
      <c r="W33" s="3"/>
      <c r="X33" s="7">
        <f t="shared" si="6"/>
        <v>-59822.400000000001</v>
      </c>
      <c r="Y33" s="3"/>
      <c r="Z33" s="8">
        <f t="shared" si="7"/>
        <v>-1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0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0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0</v>
      </c>
      <c r="Y40" s="2"/>
      <c r="Z40" s="6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2140.89</v>
      </c>
      <c r="E42" s="2"/>
      <c r="F42" s="6">
        <f t="shared" si="0"/>
        <v>0</v>
      </c>
      <c r="G42" s="2"/>
      <c r="H42" s="2">
        <f>SUM(OSRRefH22_3x_0)</f>
        <v>2099</v>
      </c>
      <c r="I42" s="2"/>
      <c r="J42" s="6">
        <f t="shared" si="1"/>
        <v>0</v>
      </c>
      <c r="K42" s="2"/>
      <c r="L42" s="2">
        <f t="shared" si="2"/>
        <v>41.889999999999873</v>
      </c>
      <c r="M42" s="2"/>
      <c r="N42" s="6">
        <f t="shared" si="3"/>
        <v>1.9957122439256729E-2</v>
      </c>
      <c r="O42" s="14"/>
      <c r="P42" s="2">
        <f>SUM(OSRRefP22_3x_0)</f>
        <v>30281.34</v>
      </c>
      <c r="Q42" s="2"/>
      <c r="R42" s="6">
        <f t="shared" si="4"/>
        <v>0</v>
      </c>
      <c r="S42" s="2"/>
      <c r="T42" s="2">
        <f>SUM(OSRRefT22_3x_0)</f>
        <v>29861</v>
      </c>
      <c r="U42" s="2"/>
      <c r="V42" s="6">
        <f t="shared" si="5"/>
        <v>0</v>
      </c>
      <c r="W42" s="2"/>
      <c r="X42" s="2">
        <f t="shared" si="6"/>
        <v>420.34000000000015</v>
      </c>
      <c r="Y42" s="2"/>
      <c r="Z42" s="6">
        <f t="shared" si="7"/>
        <v>1.4076554703459367E-2</v>
      </c>
    </row>
    <row r="43" spans="1:26" s="70" customFormat="1" ht="15" hidden="1" customHeight="1" outlineLevel="2" x14ac:dyDescent="0.3">
      <c r="A43" s="26"/>
      <c r="B43" s="12" t="str">
        <f>CONCATENATE("          ","6322"," - ","EQUIPMENT DEPRECIATION EXPENSE")</f>
        <v xml:space="preserve">          6322 - EQUIPMENT DEPRECIATION EXPENSE</v>
      </c>
      <c r="C43" s="12"/>
      <c r="D43" s="7">
        <v>2140.89</v>
      </c>
      <c r="E43" s="3"/>
      <c r="F43" s="8">
        <f t="shared" si="0"/>
        <v>0</v>
      </c>
      <c r="G43" s="3"/>
      <c r="H43" s="7">
        <v>1599</v>
      </c>
      <c r="I43" s="3"/>
      <c r="J43" s="8">
        <f t="shared" si="1"/>
        <v>0</v>
      </c>
      <c r="K43" s="3"/>
      <c r="L43" s="7">
        <f t="shared" si="2"/>
        <v>541.88999999999987</v>
      </c>
      <c r="M43" s="3"/>
      <c r="N43" s="8">
        <f t="shared" si="3"/>
        <v>0.33889305816135079</v>
      </c>
      <c r="O43" s="12"/>
      <c r="P43" s="7">
        <v>30281.34</v>
      </c>
      <c r="Q43" s="3"/>
      <c r="R43" s="8">
        <f t="shared" si="4"/>
        <v>0</v>
      </c>
      <c r="S43" s="3"/>
      <c r="T43" s="7">
        <v>24861</v>
      </c>
      <c r="U43" s="3"/>
      <c r="V43" s="8">
        <f t="shared" si="5"/>
        <v>0</v>
      </c>
      <c r="W43" s="3"/>
      <c r="X43" s="7">
        <f t="shared" si="6"/>
        <v>5420.34</v>
      </c>
      <c r="Y43" s="3"/>
      <c r="Z43" s="8">
        <f t="shared" si="7"/>
        <v>0.2180258235790998</v>
      </c>
    </row>
    <row r="44" spans="1:26" s="70" customFormat="1" ht="15" hidden="1" customHeight="1" outlineLevel="2" x14ac:dyDescent="0.3">
      <c r="A44" s="26"/>
      <c r="B44" s="12" t="str">
        <f>CONCATENATE("          ","6324"," - ","FURNITURE + FIXT DEPRECIATION")</f>
        <v xml:space="preserve">          6324 - FURNITURE + FIXT DEPRECIATION</v>
      </c>
      <c r="C44" s="12"/>
      <c r="D44" s="7"/>
      <c r="E44" s="3"/>
      <c r="F44" s="8">
        <f t="shared" si="0"/>
        <v>0</v>
      </c>
      <c r="G44" s="3"/>
      <c r="H44" s="7">
        <v>500</v>
      </c>
      <c r="I44" s="3"/>
      <c r="J44" s="8">
        <f t="shared" si="1"/>
        <v>0</v>
      </c>
      <c r="K44" s="3"/>
      <c r="L44" s="7">
        <f t="shared" si="2"/>
        <v>-500</v>
      </c>
      <c r="M44" s="3"/>
      <c r="N44" s="8">
        <f t="shared" si="3"/>
        <v>-1</v>
      </c>
      <c r="O44" s="12"/>
      <c r="P44" s="7"/>
      <c r="Q44" s="3"/>
      <c r="R44" s="8">
        <f t="shared" si="4"/>
        <v>0</v>
      </c>
      <c r="S44" s="3"/>
      <c r="T44" s="7">
        <v>5000</v>
      </c>
      <c r="U44" s="3"/>
      <c r="V44" s="8">
        <f t="shared" si="5"/>
        <v>0</v>
      </c>
      <c r="W44" s="3"/>
      <c r="X44" s="7">
        <f t="shared" si="6"/>
        <v>-5000</v>
      </c>
      <c r="Y44" s="3"/>
      <c r="Z44" s="8">
        <f t="shared" si="7"/>
        <v>-1</v>
      </c>
    </row>
    <row r="45" spans="1:26" s="69" customFormat="1" ht="15" customHeight="1" outlineLevel="1" collapsed="1" x14ac:dyDescent="0.3">
      <c r="A45" s="25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SUM(OSRRefD22_4x_0)</f>
        <v>76.569999999999993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1.5699999999999932</v>
      </c>
      <c r="M45" s="2"/>
      <c r="N45" s="6">
        <f t="shared" si="3"/>
        <v>2.0933333333333241E-2</v>
      </c>
      <c r="O45" s="14"/>
      <c r="P45" s="2">
        <f>SUM(OSRRefP22_4x_0)</f>
        <v>765.7</v>
      </c>
      <c r="Q45" s="2"/>
      <c r="R45" s="6">
        <f t="shared" si="4"/>
        <v>0</v>
      </c>
      <c r="S45" s="2"/>
      <c r="T45" s="2">
        <f>SUM(OSRRefT22_4x_0)</f>
        <v>750</v>
      </c>
      <c r="U45" s="2"/>
      <c r="V45" s="6">
        <f t="shared" si="5"/>
        <v>0</v>
      </c>
      <c r="W45" s="2"/>
      <c r="X45" s="2">
        <f t="shared" si="6"/>
        <v>15.700000000000045</v>
      </c>
      <c r="Y45" s="2"/>
      <c r="Z45" s="6">
        <f t="shared" si="7"/>
        <v>2.0933333333333394E-2</v>
      </c>
    </row>
    <row r="46" spans="1:26" s="70" customFormat="1" ht="15" hidden="1" customHeight="1" outlineLevel="2" x14ac:dyDescent="0.3">
      <c r="A46" s="26"/>
      <c r="B46" s="12" t="str">
        <f>CONCATENATE("          ","6314"," - ","LIABILITY INSURANCE")</f>
        <v xml:space="preserve">          6314 - LIABILITY INSURANCE</v>
      </c>
      <c r="C46" s="12"/>
      <c r="D46" s="7">
        <v>76.569999999999993</v>
      </c>
      <c r="E46" s="3"/>
      <c r="F46" s="8">
        <f t="shared" si="0"/>
        <v>0</v>
      </c>
      <c r="G46" s="3"/>
      <c r="H46" s="7">
        <v>75</v>
      </c>
      <c r="I46" s="3"/>
      <c r="J46" s="8">
        <f t="shared" si="1"/>
        <v>0</v>
      </c>
      <c r="K46" s="3"/>
      <c r="L46" s="7">
        <f t="shared" si="2"/>
        <v>1.5699999999999932</v>
      </c>
      <c r="M46" s="3"/>
      <c r="N46" s="8">
        <f t="shared" si="3"/>
        <v>2.0933333333333241E-2</v>
      </c>
      <c r="O46" s="12"/>
      <c r="P46" s="7">
        <v>765.7</v>
      </c>
      <c r="Q46" s="3"/>
      <c r="R46" s="8">
        <f t="shared" si="4"/>
        <v>0</v>
      </c>
      <c r="S46" s="3"/>
      <c r="T46" s="7">
        <v>750</v>
      </c>
      <c r="U46" s="3"/>
      <c r="V46" s="8">
        <f t="shared" si="5"/>
        <v>0</v>
      </c>
      <c r="W46" s="3"/>
      <c r="X46" s="7">
        <f t="shared" si="6"/>
        <v>15.700000000000045</v>
      </c>
      <c r="Y46" s="3"/>
      <c r="Z46" s="8">
        <f t="shared" si="7"/>
        <v>2.0933333333333394E-2</v>
      </c>
    </row>
    <row r="47" spans="1:26" s="69" customFormat="1" ht="15" customHeight="1" outlineLevel="1" collapsed="1" x14ac:dyDescent="0.3">
      <c r="A47" s="25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SUM(OSRRefD22_5x_0)</f>
        <v>9796</v>
      </c>
      <c r="E47" s="2"/>
      <c r="F47" s="6">
        <f t="shared" si="0"/>
        <v>0</v>
      </c>
      <c r="G47" s="2"/>
      <c r="H47" s="2">
        <f>SUM(OSRRefH22_5x_0)</f>
        <v>10467</v>
      </c>
      <c r="I47" s="2"/>
      <c r="J47" s="6">
        <f t="shared" si="1"/>
        <v>0</v>
      </c>
      <c r="K47" s="2"/>
      <c r="L47" s="2">
        <f t="shared" si="2"/>
        <v>-671</v>
      </c>
      <c r="M47" s="2"/>
      <c r="N47" s="6">
        <f t="shared" si="3"/>
        <v>-6.4106238654819916E-2</v>
      </c>
      <c r="O47" s="14"/>
      <c r="P47" s="2">
        <f>SUM(OSRRefP22_5x_0)</f>
        <v>90056.3</v>
      </c>
      <c r="Q47" s="2"/>
      <c r="R47" s="6">
        <f t="shared" si="4"/>
        <v>0</v>
      </c>
      <c r="S47" s="2"/>
      <c r="T47" s="2">
        <f>SUM(OSRRefT22_5x_0)</f>
        <v>107670</v>
      </c>
      <c r="U47" s="2"/>
      <c r="V47" s="6">
        <f t="shared" si="5"/>
        <v>0</v>
      </c>
      <c r="W47" s="2"/>
      <c r="X47" s="2">
        <f t="shared" si="6"/>
        <v>-17613.699999999997</v>
      </c>
      <c r="Y47" s="2"/>
      <c r="Z47" s="6">
        <f t="shared" si="7"/>
        <v>-0.16358967214637316</v>
      </c>
    </row>
    <row r="48" spans="1:26" s="70" customFormat="1" ht="15" hidden="1" customHeight="1" outlineLevel="2" x14ac:dyDescent="0.3">
      <c r="A48" s="26"/>
      <c r="B48" s="12" t="str">
        <f>CONCATENATE("          ","6371"," - ","COMPUTER SOFTWARE MAINTENANCE")</f>
        <v xml:space="preserve">          6371 - COMPUTER SOFTWARE MAINTENANCE</v>
      </c>
      <c r="C48" s="12"/>
      <c r="D48" s="7">
        <v>330</v>
      </c>
      <c r="E48" s="3"/>
      <c r="F48" s="8">
        <f t="shared" si="0"/>
        <v>0</v>
      </c>
      <c r="G48" s="3"/>
      <c r="H48" s="7">
        <v>1000</v>
      </c>
      <c r="I48" s="3"/>
      <c r="J48" s="8">
        <f t="shared" si="1"/>
        <v>0</v>
      </c>
      <c r="K48" s="3"/>
      <c r="L48" s="7">
        <f t="shared" si="2"/>
        <v>-670</v>
      </c>
      <c r="M48" s="3"/>
      <c r="N48" s="8">
        <f t="shared" si="3"/>
        <v>-0.67</v>
      </c>
      <c r="O48" s="12"/>
      <c r="P48" s="7">
        <v>2423.8200000000002</v>
      </c>
      <c r="Q48" s="3"/>
      <c r="R48" s="8">
        <f t="shared" si="4"/>
        <v>0</v>
      </c>
      <c r="S48" s="3"/>
      <c r="T48" s="7">
        <v>10000</v>
      </c>
      <c r="U48" s="3"/>
      <c r="V48" s="8">
        <f t="shared" si="5"/>
        <v>0</v>
      </c>
      <c r="W48" s="3"/>
      <c r="X48" s="7">
        <f t="shared" si="6"/>
        <v>-7576.18</v>
      </c>
      <c r="Y48" s="3"/>
      <c r="Z48" s="8">
        <f t="shared" si="7"/>
        <v>-0.75761800000000001</v>
      </c>
    </row>
    <row r="49" spans="1:26" s="70" customFormat="1" ht="15" hidden="1" customHeight="1" outlineLevel="2" x14ac:dyDescent="0.3">
      <c r="A49" s="26"/>
      <c r="B49" s="12" t="str">
        <f>CONCATENATE("          ","6372"," - ","COMPUTER HARDWARE MAINTENANCE")</f>
        <v xml:space="preserve">          6372 - COMPUTER HARDWARE MAINTENANCE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4760.47</v>
      </c>
      <c r="Q49" s="3"/>
      <c r="R49" s="8">
        <f t="shared" si="4"/>
        <v>0</v>
      </c>
      <c r="S49" s="3"/>
      <c r="T49" s="7">
        <v>3000</v>
      </c>
      <c r="U49" s="3"/>
      <c r="V49" s="8">
        <f t="shared" si="5"/>
        <v>0</v>
      </c>
      <c r="W49" s="3"/>
      <c r="X49" s="7">
        <f t="shared" si="6"/>
        <v>1760.4700000000003</v>
      </c>
      <c r="Y49" s="3"/>
      <c r="Z49" s="8">
        <f t="shared" si="7"/>
        <v>0.58682333333333336</v>
      </c>
    </row>
    <row r="50" spans="1:26" s="70" customFormat="1" ht="15" hidden="1" customHeight="1" outlineLevel="2" x14ac:dyDescent="0.3">
      <c r="A50" s="26"/>
      <c r="B50" s="12" t="str">
        <f>CONCATENATE("          ","6373"," - ","MAINTENANCE CONTRACTS")</f>
        <v xml:space="preserve">          6373 - MAINTENANCE CONTRACTS</v>
      </c>
      <c r="C50" s="12"/>
      <c r="D50" s="7">
        <v>9466</v>
      </c>
      <c r="E50" s="3"/>
      <c r="F50" s="8">
        <f t="shared" si="0"/>
        <v>0</v>
      </c>
      <c r="G50" s="3"/>
      <c r="H50" s="7">
        <v>9467</v>
      </c>
      <c r="I50" s="3"/>
      <c r="J50" s="8">
        <f t="shared" si="1"/>
        <v>0</v>
      </c>
      <c r="K50" s="3"/>
      <c r="L50" s="7">
        <f t="shared" si="2"/>
        <v>-1</v>
      </c>
      <c r="M50" s="3"/>
      <c r="N50" s="8">
        <f t="shared" si="3"/>
        <v>-1.0563008344776593E-4</v>
      </c>
      <c r="O50" s="12"/>
      <c r="P50" s="7">
        <v>82824.490000000005</v>
      </c>
      <c r="Q50" s="3"/>
      <c r="R50" s="8">
        <f t="shared" si="4"/>
        <v>0</v>
      </c>
      <c r="S50" s="3"/>
      <c r="T50" s="7">
        <v>94670</v>
      </c>
      <c r="U50" s="3"/>
      <c r="V50" s="8">
        <f t="shared" si="5"/>
        <v>0</v>
      </c>
      <c r="W50" s="3"/>
      <c r="X50" s="7">
        <f t="shared" si="6"/>
        <v>-11845.509999999995</v>
      </c>
      <c r="Y50" s="3"/>
      <c r="Z50" s="8">
        <f t="shared" si="7"/>
        <v>-0.12512422097813453</v>
      </c>
    </row>
    <row r="51" spans="1:26" s="70" customFormat="1" ht="15" hidden="1" customHeight="1" outlineLevel="2" x14ac:dyDescent="0.3">
      <c r="A51" s="26"/>
      <c r="B51" s="12" t="str">
        <f>CONCATENATE("          ","6375"," - ","OUTSIDE REPAIRS &amp; MAINTENANCE")</f>
        <v xml:space="preserve">          6375 - OUTSIDE REPAIRS &amp; MAINTENANCE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47.52</v>
      </c>
      <c r="Q51" s="3"/>
      <c r="R51" s="8">
        <f t="shared" si="4"/>
        <v>0</v>
      </c>
      <c r="S51" s="3"/>
      <c r="T51" s="7"/>
      <c r="U51" s="3"/>
      <c r="V51" s="8">
        <f t="shared" si="5"/>
        <v>0</v>
      </c>
      <c r="W51" s="3"/>
      <c r="X51" s="7">
        <f t="shared" si="6"/>
        <v>47.52</v>
      </c>
      <c r="Y51" s="3"/>
      <c r="Z51" s="8">
        <f t="shared" si="7"/>
        <v>0</v>
      </c>
    </row>
    <row r="52" spans="1:26" s="69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SUM(OSRRefD22_6x_0)</f>
        <v>0</v>
      </c>
      <c r="E52" s="2"/>
      <c r="F52" s="6">
        <f t="shared" si="0"/>
        <v>0</v>
      </c>
      <c r="G52" s="2"/>
      <c r="H52" s="2">
        <f>SUM(OSRRefH22_6x_0)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SUM(OSRRefP22_6x_0)</f>
        <v>0</v>
      </c>
      <c r="Q52" s="2"/>
      <c r="R52" s="6">
        <f t="shared" si="4"/>
        <v>0</v>
      </c>
      <c r="S52" s="2"/>
      <c r="T52" s="2">
        <f>SUM(OSRRefT22_6x_0)</f>
        <v>850</v>
      </c>
      <c r="U52" s="2"/>
      <c r="V52" s="6">
        <f t="shared" si="5"/>
        <v>0</v>
      </c>
      <c r="W52" s="2"/>
      <c r="X52" s="2">
        <f t="shared" si="6"/>
        <v>-850</v>
      </c>
      <c r="Y52" s="2"/>
      <c r="Z52" s="6">
        <f t="shared" si="7"/>
        <v>-1</v>
      </c>
    </row>
    <row r="53" spans="1:26" s="70" customFormat="1" ht="15" hidden="1" customHeight="1" outlineLevel="2" x14ac:dyDescent="0.3">
      <c r="A53" s="26"/>
      <c r="B53" s="12" t="str">
        <f>CONCATENATE("          ","6258"," - ","MEMBERSHIP DUES")</f>
        <v xml:space="preserve">          6258 - MEMBERSHIP DUES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/>
      <c r="Q53" s="3"/>
      <c r="R53" s="8">
        <f t="shared" si="4"/>
        <v>0</v>
      </c>
      <c r="S53" s="3"/>
      <c r="T53" s="7">
        <v>250</v>
      </c>
      <c r="U53" s="3"/>
      <c r="V53" s="8">
        <f t="shared" si="5"/>
        <v>0</v>
      </c>
      <c r="W53" s="3"/>
      <c r="X53" s="7">
        <f t="shared" si="6"/>
        <v>-250</v>
      </c>
      <c r="Y53" s="3"/>
      <c r="Z53" s="8">
        <f t="shared" si="7"/>
        <v>-1</v>
      </c>
    </row>
    <row r="54" spans="1:26" s="70" customFormat="1" ht="15" hidden="1" customHeight="1" outlineLevel="2" x14ac:dyDescent="0.3">
      <c r="A54" s="26"/>
      <c r="B54" s="12" t="str">
        <f>CONCATENATE("          ","6275"," - ","SUBSCRIPTIONS")</f>
        <v xml:space="preserve">          6275 - SUBSCRIPTIONS</v>
      </c>
      <c r="C54" s="12"/>
      <c r="D54" s="7"/>
      <c r="E54" s="3"/>
      <c r="F54" s="8">
        <f t="shared" si="0"/>
        <v>0</v>
      </c>
      <c r="G54" s="3"/>
      <c r="H54" s="7"/>
      <c r="I54" s="3"/>
      <c r="J54" s="8">
        <f t="shared" si="1"/>
        <v>0</v>
      </c>
      <c r="K54" s="3"/>
      <c r="L54" s="7">
        <f t="shared" si="2"/>
        <v>0</v>
      </c>
      <c r="M54" s="3"/>
      <c r="N54" s="8">
        <f t="shared" si="3"/>
        <v>0</v>
      </c>
      <c r="O54" s="12"/>
      <c r="P54" s="7"/>
      <c r="Q54" s="3"/>
      <c r="R54" s="8">
        <f t="shared" si="4"/>
        <v>0</v>
      </c>
      <c r="S54" s="3"/>
      <c r="T54" s="7">
        <v>600</v>
      </c>
      <c r="U54" s="3"/>
      <c r="V54" s="8">
        <f t="shared" si="5"/>
        <v>0</v>
      </c>
      <c r="W54" s="3"/>
      <c r="X54" s="7">
        <f t="shared" si="6"/>
        <v>-600</v>
      </c>
      <c r="Y54" s="3"/>
      <c r="Z54" s="8">
        <f t="shared" si="7"/>
        <v>-1</v>
      </c>
    </row>
    <row r="55" spans="1:26" s="69" customFormat="1" ht="15" customHeight="1" outlineLevel="1" collapsed="1" x14ac:dyDescent="0.3">
      <c r="A55" s="25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SUM(OSRRefD22_7x_0)</f>
        <v>0</v>
      </c>
      <c r="E55" s="2"/>
      <c r="F55" s="6">
        <f t="shared" si="0"/>
        <v>0</v>
      </c>
      <c r="G55" s="2"/>
      <c r="H55" s="2">
        <f>SUM(OSRRefH22_7x_0)</f>
        <v>100</v>
      </c>
      <c r="I55" s="2"/>
      <c r="J55" s="6">
        <f t="shared" si="1"/>
        <v>0</v>
      </c>
      <c r="K55" s="2"/>
      <c r="L55" s="2">
        <f t="shared" si="2"/>
        <v>-100</v>
      </c>
      <c r="M55" s="2"/>
      <c r="N55" s="6">
        <f t="shared" si="3"/>
        <v>-1</v>
      </c>
      <c r="O55" s="14"/>
      <c r="P55" s="2">
        <f>SUM(OSRRefP22_7x_0)</f>
        <v>21575.08</v>
      </c>
      <c r="Q55" s="2"/>
      <c r="R55" s="6">
        <f t="shared" si="4"/>
        <v>0</v>
      </c>
      <c r="S55" s="2"/>
      <c r="T55" s="2">
        <f>SUM(OSRRefT22_7x_0)</f>
        <v>1000</v>
      </c>
      <c r="U55" s="2"/>
      <c r="V55" s="6">
        <f t="shared" si="5"/>
        <v>0</v>
      </c>
      <c r="W55" s="2"/>
      <c r="X55" s="2">
        <f t="shared" si="6"/>
        <v>20575.080000000002</v>
      </c>
      <c r="Y55" s="2"/>
      <c r="Z55" s="6">
        <f t="shared" si="7"/>
        <v>20.575080000000003</v>
      </c>
    </row>
    <row r="56" spans="1:26" s="70" customFormat="1" ht="15" hidden="1" customHeight="1" outlineLevel="2" x14ac:dyDescent="0.3">
      <c r="A56" s="26"/>
      <c r="B56" s="12" t="str">
        <f>CONCATENATE("          ","6241"," - ","OFFICE EXPENSE")</f>
        <v xml:space="preserve">          6241 - OFFICE EXPENSE</v>
      </c>
      <c r="C56" s="12"/>
      <c r="D56" s="7"/>
      <c r="E56" s="3"/>
      <c r="F56" s="8">
        <f t="shared" si="0"/>
        <v>0</v>
      </c>
      <c r="G56" s="3"/>
      <c r="H56" s="7">
        <v>100</v>
      </c>
      <c r="I56" s="3"/>
      <c r="J56" s="8">
        <f t="shared" si="1"/>
        <v>0</v>
      </c>
      <c r="K56" s="3"/>
      <c r="L56" s="7">
        <f t="shared" si="2"/>
        <v>-100</v>
      </c>
      <c r="M56" s="3"/>
      <c r="N56" s="8">
        <f t="shared" si="3"/>
        <v>-1</v>
      </c>
      <c r="O56" s="12"/>
      <c r="P56" s="7">
        <v>21575.08</v>
      </c>
      <c r="Q56" s="3"/>
      <c r="R56" s="8">
        <f t="shared" si="4"/>
        <v>0</v>
      </c>
      <c r="S56" s="3"/>
      <c r="T56" s="7">
        <v>1000</v>
      </c>
      <c r="U56" s="3"/>
      <c r="V56" s="8">
        <f t="shared" si="5"/>
        <v>0</v>
      </c>
      <c r="W56" s="3"/>
      <c r="X56" s="7">
        <f t="shared" si="6"/>
        <v>20575.080000000002</v>
      </c>
      <c r="Y56" s="3"/>
      <c r="Z56" s="8">
        <f t="shared" si="7"/>
        <v>20.575080000000003</v>
      </c>
    </row>
    <row r="57" spans="1:26" s="69" customFormat="1" ht="15" customHeight="1" outlineLevel="1" collapsed="1" x14ac:dyDescent="0.3">
      <c r="A57" s="25"/>
      <c r="B57" s="14" t="str">
        <f>CONCATENATE("     ","Telephone/Data Lines                              ")</f>
        <v xml:space="preserve">     Telephone/Data Lines                              </v>
      </c>
      <c r="C57" s="14"/>
      <c r="D57" s="2">
        <f>SUM(OSRRefD22_8x_0)</f>
        <v>1152.51</v>
      </c>
      <c r="E57" s="2"/>
      <c r="F57" s="6">
        <f t="shared" si="0"/>
        <v>0</v>
      </c>
      <c r="G57" s="2"/>
      <c r="H57" s="2">
        <f>SUM(OSRRefH22_8x_0)</f>
        <v>500</v>
      </c>
      <c r="I57" s="2"/>
      <c r="J57" s="6">
        <f t="shared" si="1"/>
        <v>0</v>
      </c>
      <c r="K57" s="2"/>
      <c r="L57" s="2">
        <f t="shared" si="2"/>
        <v>652.51</v>
      </c>
      <c r="M57" s="2"/>
      <c r="N57" s="6">
        <f t="shared" si="3"/>
        <v>1.3050200000000001</v>
      </c>
      <c r="O57" s="14"/>
      <c r="P57" s="2">
        <f>SUM(OSRRefP22_8x_0)</f>
        <v>8565.24</v>
      </c>
      <c r="Q57" s="2"/>
      <c r="R57" s="6">
        <f t="shared" si="4"/>
        <v>0</v>
      </c>
      <c r="S57" s="2"/>
      <c r="T57" s="2">
        <f>SUM(OSRRefT22_8x_0)</f>
        <v>5000</v>
      </c>
      <c r="U57" s="2"/>
      <c r="V57" s="6">
        <f t="shared" si="5"/>
        <v>0</v>
      </c>
      <c r="W57" s="2"/>
      <c r="X57" s="2">
        <f t="shared" si="6"/>
        <v>3565.24</v>
      </c>
      <c r="Y57" s="2"/>
      <c r="Z57" s="6">
        <f t="shared" si="7"/>
        <v>0.7130479999999999</v>
      </c>
    </row>
    <row r="58" spans="1:26" s="70" customFormat="1" ht="15" hidden="1" customHeight="1" outlineLevel="2" x14ac:dyDescent="0.3">
      <c r="A58" s="26"/>
      <c r="B58" s="12" t="str">
        <f>CONCATENATE("          ","6303"," - ","DATA PHONE LINES")</f>
        <v xml:space="preserve">          6303 - DATA PHONE LINES</v>
      </c>
      <c r="C58" s="12"/>
      <c r="D58" s="7">
        <v>265.95999999999998</v>
      </c>
      <c r="E58" s="3"/>
      <c r="F58" s="8">
        <f t="shared" si="0"/>
        <v>0</v>
      </c>
      <c r="G58" s="3"/>
      <c r="H58" s="7">
        <v>200</v>
      </c>
      <c r="I58" s="3"/>
      <c r="J58" s="8">
        <f t="shared" si="1"/>
        <v>0</v>
      </c>
      <c r="K58" s="3"/>
      <c r="L58" s="7">
        <f t="shared" si="2"/>
        <v>65.95999999999998</v>
      </c>
      <c r="M58" s="3"/>
      <c r="N58" s="8">
        <f t="shared" si="3"/>
        <v>0.32979999999999987</v>
      </c>
      <c r="O58" s="12"/>
      <c r="P58" s="7">
        <v>1690.79</v>
      </c>
      <c r="Q58" s="3"/>
      <c r="R58" s="8">
        <f t="shared" si="4"/>
        <v>0</v>
      </c>
      <c r="S58" s="3"/>
      <c r="T58" s="7">
        <v>2000</v>
      </c>
      <c r="U58" s="3"/>
      <c r="V58" s="8">
        <f t="shared" si="5"/>
        <v>0</v>
      </c>
      <c r="W58" s="3"/>
      <c r="X58" s="7">
        <f t="shared" si="6"/>
        <v>-309.21000000000004</v>
      </c>
      <c r="Y58" s="3"/>
      <c r="Z58" s="8">
        <f t="shared" si="7"/>
        <v>-0.15460500000000002</v>
      </c>
    </row>
    <row r="59" spans="1:26" s="70" customFormat="1" ht="15" hidden="1" customHeight="1" outlineLevel="2" x14ac:dyDescent="0.3">
      <c r="A59" s="26"/>
      <c r="B59" s="12" t="str">
        <f>CONCATENATE("          ","6309"," - ","TELEPHONE")</f>
        <v xml:space="preserve">          6309 - TELEPHONE</v>
      </c>
      <c r="C59" s="12"/>
      <c r="D59" s="7">
        <v>886.55</v>
      </c>
      <c r="E59" s="3"/>
      <c r="F59" s="8">
        <f t="shared" si="0"/>
        <v>0</v>
      </c>
      <c r="G59" s="3"/>
      <c r="H59" s="7">
        <v>300</v>
      </c>
      <c r="I59" s="3"/>
      <c r="J59" s="8">
        <f t="shared" si="1"/>
        <v>0</v>
      </c>
      <c r="K59" s="3"/>
      <c r="L59" s="7">
        <f t="shared" si="2"/>
        <v>586.54999999999995</v>
      </c>
      <c r="M59" s="3"/>
      <c r="N59" s="8">
        <f t="shared" si="3"/>
        <v>1.9551666666666665</v>
      </c>
      <c r="O59" s="12"/>
      <c r="P59" s="7">
        <v>6874.45</v>
      </c>
      <c r="Q59" s="3"/>
      <c r="R59" s="8">
        <f t="shared" si="4"/>
        <v>0</v>
      </c>
      <c r="S59" s="3"/>
      <c r="T59" s="7">
        <v>3000</v>
      </c>
      <c r="U59" s="3"/>
      <c r="V59" s="8">
        <f t="shared" si="5"/>
        <v>0</v>
      </c>
      <c r="W59" s="3"/>
      <c r="X59" s="7">
        <f t="shared" si="6"/>
        <v>3874.45</v>
      </c>
      <c r="Y59" s="3"/>
      <c r="Z59" s="8">
        <f t="shared" si="7"/>
        <v>1.2914833333333333</v>
      </c>
    </row>
    <row r="60" spans="1:26" s="69" customFormat="1" ht="15" customHeight="1" outlineLevel="1" collapsed="1" x14ac:dyDescent="0.3">
      <c r="A60" s="25"/>
      <c r="B60" s="14" t="str">
        <f>CONCATENATE("     ","Training                                          ")</f>
        <v xml:space="preserve">     Training                                          </v>
      </c>
      <c r="C60" s="14"/>
      <c r="D60" s="2">
        <f>SUM(OSRRefD22_9x_0)</f>
        <v>399</v>
      </c>
      <c r="E60" s="2"/>
      <c r="F60" s="6">
        <f t="shared" si="0"/>
        <v>0</v>
      </c>
      <c r="G60" s="2"/>
      <c r="H60" s="2">
        <f>SUM(OSRRefH22_9x_0)</f>
        <v>0</v>
      </c>
      <c r="I60" s="2"/>
      <c r="J60" s="6">
        <f t="shared" si="1"/>
        <v>0</v>
      </c>
      <c r="K60" s="2"/>
      <c r="L60" s="2">
        <f t="shared" si="2"/>
        <v>399</v>
      </c>
      <c r="M60" s="2"/>
      <c r="N60" s="6">
        <f t="shared" si="3"/>
        <v>0</v>
      </c>
      <c r="O60" s="14"/>
      <c r="P60" s="2">
        <f>SUM(OSRRefP22_9x_0)</f>
        <v>498</v>
      </c>
      <c r="Q60" s="2"/>
      <c r="R60" s="6">
        <f t="shared" si="4"/>
        <v>0</v>
      </c>
      <c r="S60" s="2"/>
      <c r="T60" s="2">
        <f>SUM(OSRRefT22_9x_0)</f>
        <v>0</v>
      </c>
      <c r="U60" s="2"/>
      <c r="V60" s="6">
        <f t="shared" si="5"/>
        <v>0</v>
      </c>
      <c r="W60" s="2"/>
      <c r="X60" s="2">
        <f t="shared" si="6"/>
        <v>498</v>
      </c>
      <c r="Y60" s="2"/>
      <c r="Z60" s="6">
        <f t="shared" si="7"/>
        <v>0</v>
      </c>
    </row>
    <row r="61" spans="1:26" s="70" customFormat="1" ht="15" hidden="1" customHeight="1" outlineLevel="2" x14ac:dyDescent="0.3">
      <c r="A61" s="26"/>
      <c r="B61" s="12" t="str">
        <f>CONCATENATE("          ","6376"," - ","TRAINING")</f>
        <v xml:space="preserve">          6376 - TRAINING</v>
      </c>
      <c r="C61" s="12"/>
      <c r="D61" s="7">
        <v>399</v>
      </c>
      <c r="E61" s="3"/>
      <c r="F61" s="8">
        <f t="shared" si="0"/>
        <v>0</v>
      </c>
      <c r="G61" s="3"/>
      <c r="H61" s="7"/>
      <c r="I61" s="3"/>
      <c r="J61" s="8">
        <f t="shared" si="1"/>
        <v>0</v>
      </c>
      <c r="K61" s="3"/>
      <c r="L61" s="7">
        <f t="shared" si="2"/>
        <v>399</v>
      </c>
      <c r="M61" s="3"/>
      <c r="N61" s="8">
        <f t="shared" si="3"/>
        <v>0</v>
      </c>
      <c r="O61" s="12"/>
      <c r="P61" s="7">
        <v>498</v>
      </c>
      <c r="Q61" s="3"/>
      <c r="R61" s="8">
        <f t="shared" si="4"/>
        <v>0</v>
      </c>
      <c r="S61" s="3"/>
      <c r="T61" s="7"/>
      <c r="U61" s="3"/>
      <c r="V61" s="8">
        <f t="shared" si="5"/>
        <v>0</v>
      </c>
      <c r="W61" s="3"/>
      <c r="X61" s="7">
        <f t="shared" si="6"/>
        <v>498</v>
      </c>
      <c r="Y61" s="3"/>
      <c r="Z61" s="8">
        <f t="shared" si="7"/>
        <v>0</v>
      </c>
    </row>
    <row r="62" spans="1:26" s="69" customFormat="1" ht="15" customHeight="1" outlineLevel="1" collapsed="1" x14ac:dyDescent="0.3">
      <c r="A62" s="25"/>
      <c r="B62" s="14" t="str">
        <f>CONCATENATE("     ","Travel                                            ")</f>
        <v xml:space="preserve">     Travel                                            </v>
      </c>
      <c r="C62" s="14"/>
      <c r="D62" s="2">
        <f>SUM(OSRRefD22_10x_0)</f>
        <v>0</v>
      </c>
      <c r="E62" s="2"/>
      <c r="F62" s="6">
        <f t="shared" si="0"/>
        <v>0</v>
      </c>
      <c r="G62" s="2"/>
      <c r="H62" s="2">
        <f>SUM(OSRRefH22_10x_0)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SUM(OSRRefP22_10x_0)</f>
        <v>0</v>
      </c>
      <c r="Q62" s="2"/>
      <c r="R62" s="6">
        <f t="shared" si="4"/>
        <v>0</v>
      </c>
      <c r="S62" s="2"/>
      <c r="T62" s="2">
        <f>SUM(OSRRefT22_10x_0)</f>
        <v>5500</v>
      </c>
      <c r="U62" s="2"/>
      <c r="V62" s="6">
        <f t="shared" si="5"/>
        <v>0</v>
      </c>
      <c r="W62" s="2"/>
      <c r="X62" s="2">
        <f t="shared" si="6"/>
        <v>-5500</v>
      </c>
      <c r="Y62" s="2"/>
      <c r="Z62" s="6">
        <f t="shared" si="7"/>
        <v>-1</v>
      </c>
    </row>
    <row r="63" spans="1:26" s="70" customFormat="1" ht="15" hidden="1" customHeight="1" outlineLevel="2" x14ac:dyDescent="0.3">
      <c r="A63" s="26"/>
      <c r="B63" s="12" t="str">
        <f>CONCATENATE("          ","6292"," - ","TRAVEL/CONFERENCE")</f>
        <v xml:space="preserve">          6292 - TRAVEL/CONFERENCE</v>
      </c>
      <c r="C63" s="12"/>
      <c r="D63" s="7"/>
      <c r="E63" s="3"/>
      <c r="F63" s="8">
        <f t="shared" si="0"/>
        <v>0</v>
      </c>
      <c r="G63" s="3"/>
      <c r="H63" s="7"/>
      <c r="I63" s="3"/>
      <c r="J63" s="8">
        <f t="shared" si="1"/>
        <v>0</v>
      </c>
      <c r="K63" s="3"/>
      <c r="L63" s="7">
        <f t="shared" si="2"/>
        <v>0</v>
      </c>
      <c r="M63" s="3"/>
      <c r="N63" s="8">
        <f t="shared" si="3"/>
        <v>0</v>
      </c>
      <c r="O63" s="12"/>
      <c r="P63" s="7">
        <v>0</v>
      </c>
      <c r="Q63" s="3"/>
      <c r="R63" s="8">
        <f t="shared" si="4"/>
        <v>0</v>
      </c>
      <c r="S63" s="3"/>
      <c r="T63" s="7">
        <v>5500</v>
      </c>
      <c r="U63" s="3"/>
      <c r="V63" s="8">
        <f t="shared" si="5"/>
        <v>0</v>
      </c>
      <c r="W63" s="3"/>
      <c r="X63" s="7">
        <f t="shared" si="6"/>
        <v>-5500</v>
      </c>
      <c r="Y63" s="3"/>
      <c r="Z63" s="8">
        <f t="shared" si="7"/>
        <v>-1</v>
      </c>
    </row>
    <row r="64" spans="1:26" s="65" customFormat="1" ht="15" customHeight="1" x14ac:dyDescent="0.3">
      <c r="A64" s="35"/>
      <c r="B64" s="35"/>
      <c r="C64" s="35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5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3" customFormat="1" ht="15" customHeight="1" x14ac:dyDescent="0.3">
      <c r="A65" s="11"/>
      <c r="B65" s="28" t="s">
        <v>291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3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3" customFormat="1" ht="15" customHeight="1" x14ac:dyDescent="0.3">
      <c r="A67" s="11"/>
      <c r="B67" s="27" t="s">
        <v>292</v>
      </c>
      <c r="C67" s="27"/>
      <c r="D67" s="21">
        <f>+D16-D18+D65</f>
        <v>-47564.81</v>
      </c>
      <c r="E67" s="15"/>
      <c r="F67" s="23">
        <f>IF(D$12=0,0,D67/D$12)</f>
        <v>0</v>
      </c>
      <c r="G67" s="15"/>
      <c r="H67" s="21">
        <f>+H16-H18+H65</f>
        <v>-53034.082559230737</v>
      </c>
      <c r="I67" s="15"/>
      <c r="J67" s="23">
        <f>IF(H$12=0,0,H67/H$12)</f>
        <v>0</v>
      </c>
      <c r="K67" s="17"/>
      <c r="L67" s="21">
        <f>+D67-H67</f>
        <v>5469.2725592307397</v>
      </c>
      <c r="M67" s="17"/>
      <c r="N67" s="23">
        <f>IF(H67=0,0,L67/H67)</f>
        <v>-0.1031275039616726</v>
      </c>
      <c r="O67" s="28"/>
      <c r="P67" s="21">
        <f>+P16-P18+P65</f>
        <v>-456629.43000000005</v>
      </c>
      <c r="Q67" s="15"/>
      <c r="R67" s="23">
        <f>IF(P$12=0,0,P67/P$12)</f>
        <v>0</v>
      </c>
      <c r="S67" s="15"/>
      <c r="T67" s="21">
        <f>+T16-T18+T65</f>
        <v>-507573.32652123034</v>
      </c>
      <c r="U67" s="15"/>
      <c r="V67" s="23">
        <f>IF(T$12=0,0,T67/T$12)</f>
        <v>0</v>
      </c>
      <c r="W67" s="17"/>
      <c r="X67" s="21">
        <f>+P67-T67</f>
        <v>50943.896521230286</v>
      </c>
      <c r="Y67" s="17"/>
      <c r="Z67" s="23">
        <f>IF(T67=0,0,X67/T67)</f>
        <v>-0.10036756042794036</v>
      </c>
    </row>
    <row r="68" spans="1:26" ht="15" customHeight="1" x14ac:dyDescent="0.3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3" customFormat="1" ht="15" customHeight="1" x14ac:dyDescent="0.3">
      <c r="A69" s="49"/>
      <c r="B69" s="11" t="s">
        <v>293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3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3" customFormat="1" ht="15" customHeight="1" x14ac:dyDescent="0.3">
      <c r="A71" s="11"/>
      <c r="B71" s="27" t="s">
        <v>294</v>
      </c>
      <c r="C71" s="27"/>
      <c r="D71" s="29">
        <f>+D67-D69</f>
        <v>-47564.81</v>
      </c>
      <c r="E71" s="15"/>
      <c r="F71" s="30">
        <f>IF(D$12=0,0,D71/D$12)</f>
        <v>0</v>
      </c>
      <c r="G71" s="15"/>
      <c r="H71" s="29">
        <f>+H67-H69</f>
        <v>-53034.082559230737</v>
      </c>
      <c r="I71" s="15"/>
      <c r="J71" s="30">
        <f>IF(H$12=0,0,H71/H$12)</f>
        <v>0</v>
      </c>
      <c r="K71" s="17"/>
      <c r="L71" s="29">
        <f>D71-H71</f>
        <v>5469.2725592307397</v>
      </c>
      <c r="M71" s="17"/>
      <c r="N71" s="30">
        <f>IF(H71=0,0,L71/H71)</f>
        <v>-0.1031275039616726</v>
      </c>
      <c r="O71" s="28"/>
      <c r="P71" s="29">
        <f>+P67-P69</f>
        <v>-456629.43000000005</v>
      </c>
      <c r="Q71" s="15"/>
      <c r="R71" s="30">
        <f>IF(P$12=0,0,P71/P$12)</f>
        <v>0</v>
      </c>
      <c r="S71" s="15"/>
      <c r="T71" s="29">
        <f>+T67-T69</f>
        <v>-507573.32652123034</v>
      </c>
      <c r="U71" s="15"/>
      <c r="V71" s="30">
        <f>IF(T$12=0,0,T71/T$12)</f>
        <v>0</v>
      </c>
      <c r="W71" s="17"/>
      <c r="X71" s="29">
        <f>P71-T71</f>
        <v>50943.896521230286</v>
      </c>
      <c r="Y71" s="17"/>
      <c r="Z71" s="30">
        <f>IF(T71=0,0,X71/T71)</f>
        <v>-0.10036756042794036</v>
      </c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3" customFormat="1" ht="15" customHeight="1" x14ac:dyDescent="0.3">
      <c r="A74" s="11"/>
      <c r="B74" s="27" t="s">
        <v>297</v>
      </c>
      <c r="C74" s="27"/>
      <c r="D74" s="32">
        <f>SUM(D71:D73)</f>
        <v>-47564.81</v>
      </c>
      <c r="E74" s="15"/>
      <c r="F74" s="34">
        <f>IF(D$12=0,0,D74/D$12)</f>
        <v>0</v>
      </c>
      <c r="G74" s="15"/>
      <c r="H74" s="32">
        <f>SUM(H71:H73)</f>
        <v>-53034.082559230737</v>
      </c>
      <c r="I74" s="15"/>
      <c r="J74" s="34">
        <f>IF(H$12=0,0,H74/H$12)</f>
        <v>0</v>
      </c>
      <c r="K74" s="17"/>
      <c r="L74" s="32">
        <f>+D74-H74</f>
        <v>5469.2725592307397</v>
      </c>
      <c r="M74" s="17"/>
      <c r="N74" s="34">
        <f>IF(H74=0,0,L74/H74)</f>
        <v>-0.1031275039616726</v>
      </c>
      <c r="O74" s="28"/>
      <c r="P74" s="32">
        <f>SUM(P71:P73)</f>
        <v>-456629.43000000005</v>
      </c>
      <c r="Q74" s="15"/>
      <c r="R74" s="34">
        <f>IF(P$12=0,0,P74/P$12)</f>
        <v>0</v>
      </c>
      <c r="S74" s="15"/>
      <c r="T74" s="32">
        <f>SUM(T71:T73)</f>
        <v>-507573.32652123034</v>
      </c>
      <c r="U74" s="15"/>
      <c r="V74" s="34">
        <f>IF(T$12=0,0,T74/T$12)</f>
        <v>0</v>
      </c>
      <c r="W74" s="17"/>
      <c r="X74" s="32">
        <f>+P74-T74</f>
        <v>50943.896521230286</v>
      </c>
      <c r="Y74" s="17"/>
      <c r="Z74" s="34">
        <f>IF(T74=0,0,X74/T74)</f>
        <v>-0.10036756042794036</v>
      </c>
    </row>
    <row r="75" spans="1:26" ht="15" customHeight="1" x14ac:dyDescent="0.3">
      <c r="A75" s="10"/>
      <c r="C75" s="10"/>
      <c r="D75" s="19"/>
      <c r="E75" s="19"/>
      <c r="G75" s="19"/>
      <c r="H75" s="19"/>
      <c r="I75" s="19"/>
      <c r="J75" s="40"/>
      <c r="K75" s="19"/>
      <c r="L75" s="19"/>
      <c r="M75" s="19"/>
      <c r="P75" s="19"/>
      <c r="Q75" s="19"/>
      <c r="R75" s="40"/>
      <c r="S75" s="19"/>
      <c r="T75" s="19"/>
      <c r="U75" s="19"/>
      <c r="V75" s="40"/>
      <c r="W75" s="19"/>
      <c r="X75" s="19"/>
    </row>
    <row r="76" spans="1:26" ht="15" customHeight="1" x14ac:dyDescent="0.3">
      <c r="A76" s="10"/>
      <c r="B76" s="56">
        <v>44694.888552430559</v>
      </c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  <row r="77" spans="1:26" ht="15" customHeight="1" x14ac:dyDescent="0.3">
      <c r="A77" s="10"/>
      <c r="B77" s="50" t="s">
        <v>298</v>
      </c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1"/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B4D1F-D509-C75B-4AAB-99F9953D1FB7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","205"," - ","Maintenance")</f>
        <v>Department 205 - Maintenance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7389.5300000000007</v>
      </c>
      <c r="E18" s="22"/>
      <c r="F18" s="33">
        <f t="shared" ref="F18:F55" si="0">IF(D$12=0,0,D18/D$12)</f>
        <v>0</v>
      </c>
      <c r="G18" s="22"/>
      <c r="H18" s="22" cm="1">
        <f t="array" ref="H18">SUM(OSRRefH22x_0)</f>
        <v>14013.708225</v>
      </c>
      <c r="I18" s="22"/>
      <c r="J18" s="33">
        <f t="shared" ref="J18:J55" si="1">IF(H$12=0,0,H18/H$12)</f>
        <v>0</v>
      </c>
      <c r="K18" s="5"/>
      <c r="L18" s="22">
        <f t="shared" ref="L18:L55" si="2">+D18-H18</f>
        <v>-6624.1782249999997</v>
      </c>
      <c r="M18" s="5"/>
      <c r="N18" s="33">
        <f t="shared" ref="N18:N55" si="3">IF(H18=0,0,L18/H18)</f>
        <v>-0.47269274617710971</v>
      </c>
      <c r="O18" s="11"/>
      <c r="P18" s="22" cm="1">
        <f t="array" ref="P18">SUM(OSRRefP22x_0)</f>
        <v>80941.87000000001</v>
      </c>
      <c r="Q18" s="22"/>
      <c r="R18" s="33">
        <f t="shared" ref="R18:R55" si="4">IF(P$12=0,0,P18/P$12)</f>
        <v>0</v>
      </c>
      <c r="S18" s="22"/>
      <c r="T18" s="22" cm="1">
        <f t="array" ref="T18">SUM(OSRRefT22x_0)</f>
        <v>89432.63238000001</v>
      </c>
      <c r="U18" s="22"/>
      <c r="V18" s="33">
        <f t="shared" ref="V18:V55" si="5">IF(T$12=0,0,T18/T$12)</f>
        <v>0</v>
      </c>
      <c r="W18" s="5"/>
      <c r="X18" s="22">
        <f t="shared" ref="X18:X55" si="6">+P18-T18</f>
        <v>-8490.7623800000001</v>
      </c>
      <c r="Y18" s="5"/>
      <c r="Z18" s="33">
        <f t="shared" ref="Z18:Z55" si="7">IF(T18=0,0,X18/T18)</f>
        <v>-9.494031601264602E-2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3179.52</v>
      </c>
      <c r="E19" s="2"/>
      <c r="F19" s="6">
        <f t="shared" si="0"/>
        <v>0</v>
      </c>
      <c r="G19" s="2"/>
      <c r="H19" s="2">
        <f>SUM(OSRRefH22_0x_0)</f>
        <v>2274.7332249999999</v>
      </c>
      <c r="I19" s="2"/>
      <c r="J19" s="6">
        <f t="shared" si="1"/>
        <v>0</v>
      </c>
      <c r="K19" s="2"/>
      <c r="L19" s="2">
        <f t="shared" si="2"/>
        <v>904.78677500000003</v>
      </c>
      <c r="M19" s="2"/>
      <c r="N19" s="6">
        <f t="shared" si="3"/>
        <v>0.39775511477834946</v>
      </c>
      <c r="O19" s="14"/>
      <c r="P19" s="2">
        <f>SUM(OSRRefP22_0x_0)</f>
        <v>27303.71</v>
      </c>
      <c r="Q19" s="2"/>
      <c r="R19" s="6">
        <f t="shared" si="4"/>
        <v>0</v>
      </c>
      <c r="S19" s="2"/>
      <c r="T19" s="2">
        <f>SUM(OSRRefT22_0x_0)</f>
        <v>20227.652380000003</v>
      </c>
      <c r="U19" s="2"/>
      <c r="V19" s="6">
        <f t="shared" si="5"/>
        <v>0</v>
      </c>
      <c r="W19" s="2"/>
      <c r="X19" s="2">
        <f t="shared" si="6"/>
        <v>7076.0576199999959</v>
      </c>
      <c r="Y19" s="2"/>
      <c r="Z19" s="6">
        <f t="shared" si="7"/>
        <v>0.34982100181810594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512.66999999999996</v>
      </c>
      <c r="E20" s="3"/>
      <c r="F20" s="8">
        <f t="shared" si="0"/>
        <v>0</v>
      </c>
      <c r="G20" s="3"/>
      <c r="H20" s="7">
        <v>413.83597500000002</v>
      </c>
      <c r="I20" s="3"/>
      <c r="J20" s="8">
        <f t="shared" si="1"/>
        <v>0</v>
      </c>
      <c r="K20" s="3"/>
      <c r="L20" s="7">
        <f t="shared" si="2"/>
        <v>98.83402499999994</v>
      </c>
      <c r="M20" s="3"/>
      <c r="N20" s="8">
        <f t="shared" si="3"/>
        <v>0.23882415007540109</v>
      </c>
      <c r="O20" s="12"/>
      <c r="P20" s="7">
        <v>3689.59</v>
      </c>
      <c r="Q20" s="3"/>
      <c r="R20" s="8">
        <f t="shared" si="4"/>
        <v>0</v>
      </c>
      <c r="S20" s="3"/>
      <c r="T20" s="7">
        <v>3641.7565800000002</v>
      </c>
      <c r="U20" s="3"/>
      <c r="V20" s="8">
        <f t="shared" si="5"/>
        <v>0</v>
      </c>
      <c r="W20" s="3"/>
      <c r="X20" s="7">
        <f t="shared" si="6"/>
        <v>47.833419999999933</v>
      </c>
      <c r="Y20" s="3"/>
      <c r="Z20" s="8">
        <f t="shared" si="7"/>
        <v>1.3134710942157461E-2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245.68</v>
      </c>
      <c r="E21" s="3"/>
      <c r="F21" s="8">
        <f t="shared" si="0"/>
        <v>0</v>
      </c>
      <c r="G21" s="3"/>
      <c r="H21" s="7">
        <v>368.79149999999998</v>
      </c>
      <c r="I21" s="3"/>
      <c r="J21" s="8">
        <f t="shared" si="1"/>
        <v>0</v>
      </c>
      <c r="K21" s="3"/>
      <c r="L21" s="7">
        <f t="shared" si="2"/>
        <v>-123.11149999999998</v>
      </c>
      <c r="M21" s="3"/>
      <c r="N21" s="8">
        <f t="shared" si="3"/>
        <v>-0.33382412555603908</v>
      </c>
      <c r="O21" s="12"/>
      <c r="P21" s="7">
        <v>2532.4299999999998</v>
      </c>
      <c r="Q21" s="3"/>
      <c r="R21" s="8">
        <f t="shared" si="4"/>
        <v>0</v>
      </c>
      <c r="S21" s="3"/>
      <c r="T21" s="7">
        <v>3245.3652000000002</v>
      </c>
      <c r="U21" s="3"/>
      <c r="V21" s="8">
        <f t="shared" si="5"/>
        <v>0</v>
      </c>
      <c r="W21" s="3"/>
      <c r="X21" s="7">
        <f t="shared" si="6"/>
        <v>-712.93520000000035</v>
      </c>
      <c r="Y21" s="3"/>
      <c r="Z21" s="8">
        <f t="shared" si="7"/>
        <v>-0.2196779579691063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694.36</v>
      </c>
      <c r="E22" s="3"/>
      <c r="F22" s="8">
        <f t="shared" si="0"/>
        <v>0</v>
      </c>
      <c r="G22" s="3"/>
      <c r="H22" s="7">
        <v>765</v>
      </c>
      <c r="I22" s="3"/>
      <c r="J22" s="8">
        <f t="shared" si="1"/>
        <v>0</v>
      </c>
      <c r="K22" s="3"/>
      <c r="L22" s="7">
        <f t="shared" si="2"/>
        <v>-70.639999999999986</v>
      </c>
      <c r="M22" s="3"/>
      <c r="N22" s="8">
        <f t="shared" si="3"/>
        <v>-9.2339869281045733E-2</v>
      </c>
      <c r="O22" s="12"/>
      <c r="P22" s="7">
        <v>6965.65</v>
      </c>
      <c r="Q22" s="3"/>
      <c r="R22" s="8">
        <f t="shared" si="4"/>
        <v>0</v>
      </c>
      <c r="S22" s="3"/>
      <c r="T22" s="7">
        <v>6732</v>
      </c>
      <c r="U22" s="3"/>
      <c r="V22" s="8">
        <f t="shared" si="5"/>
        <v>0</v>
      </c>
      <c r="W22" s="3"/>
      <c r="X22" s="7">
        <f t="shared" si="6"/>
        <v>233.64999999999964</v>
      </c>
      <c r="Y22" s="3"/>
      <c r="Z22" s="8">
        <f t="shared" si="7"/>
        <v>3.4707367795603038E-2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11.55</v>
      </c>
      <c r="E23" s="3"/>
      <c r="F23" s="8">
        <f t="shared" si="0"/>
        <v>0</v>
      </c>
      <c r="G23" s="3"/>
      <c r="H23" s="7">
        <v>11.35575</v>
      </c>
      <c r="I23" s="3"/>
      <c r="J23" s="8">
        <f t="shared" si="1"/>
        <v>0</v>
      </c>
      <c r="K23" s="3"/>
      <c r="L23" s="7">
        <f t="shared" si="2"/>
        <v>0.19425000000000026</v>
      </c>
      <c r="M23" s="3"/>
      <c r="N23" s="8">
        <f t="shared" si="3"/>
        <v>1.7105871474803535E-2</v>
      </c>
      <c r="O23" s="12"/>
      <c r="P23" s="7">
        <v>119.06</v>
      </c>
      <c r="Q23" s="3"/>
      <c r="R23" s="8">
        <f t="shared" si="4"/>
        <v>0</v>
      </c>
      <c r="S23" s="3"/>
      <c r="T23" s="7">
        <v>99.930599999999998</v>
      </c>
      <c r="U23" s="3"/>
      <c r="V23" s="8">
        <f t="shared" si="5"/>
        <v>0</v>
      </c>
      <c r="W23" s="3"/>
      <c r="X23" s="7">
        <f t="shared" si="6"/>
        <v>19.129400000000004</v>
      </c>
      <c r="Y23" s="3"/>
      <c r="Z23" s="8">
        <f t="shared" si="7"/>
        <v>0.19142685023406247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689.05</v>
      </c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689.05</v>
      </c>
      <c r="M24" s="3"/>
      <c r="N24" s="8">
        <f t="shared" si="3"/>
        <v>0</v>
      </c>
      <c r="O24" s="12"/>
      <c r="P24" s="7">
        <v>5097.53</v>
      </c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5097.53</v>
      </c>
      <c r="Y24" s="3"/>
      <c r="Z24" s="8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605.19000000000005</v>
      </c>
      <c r="E26" s="3"/>
      <c r="F26" s="8">
        <f t="shared" si="0"/>
        <v>0</v>
      </c>
      <c r="G26" s="3"/>
      <c r="H26" s="7">
        <v>432.6</v>
      </c>
      <c r="I26" s="3"/>
      <c r="J26" s="8">
        <f t="shared" si="1"/>
        <v>0</v>
      </c>
      <c r="K26" s="3"/>
      <c r="L26" s="7">
        <f t="shared" si="2"/>
        <v>172.59000000000003</v>
      </c>
      <c r="M26" s="3"/>
      <c r="N26" s="8">
        <f t="shared" si="3"/>
        <v>0.39895977808599176</v>
      </c>
      <c r="O26" s="12"/>
      <c r="P26" s="7">
        <v>4317.42</v>
      </c>
      <c r="Q26" s="3"/>
      <c r="R26" s="8">
        <f t="shared" si="4"/>
        <v>0</v>
      </c>
      <c r="S26" s="3"/>
      <c r="T26" s="7">
        <v>3806.88</v>
      </c>
      <c r="U26" s="3"/>
      <c r="V26" s="8">
        <f t="shared" si="5"/>
        <v>0</v>
      </c>
      <c r="W26" s="3"/>
      <c r="X26" s="7">
        <f t="shared" si="6"/>
        <v>510.53999999999996</v>
      </c>
      <c r="Y26" s="3"/>
      <c r="Z26" s="8">
        <f t="shared" si="7"/>
        <v>0.13410982221661832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302.19</v>
      </c>
      <c r="E27" s="3"/>
      <c r="F27" s="8">
        <f t="shared" si="0"/>
        <v>0</v>
      </c>
      <c r="G27" s="3"/>
      <c r="H27" s="7">
        <v>108.15</v>
      </c>
      <c r="I27" s="3"/>
      <c r="J27" s="8">
        <f t="shared" si="1"/>
        <v>0</v>
      </c>
      <c r="K27" s="3"/>
      <c r="L27" s="7">
        <f t="shared" si="2"/>
        <v>194.04</v>
      </c>
      <c r="M27" s="3"/>
      <c r="N27" s="8">
        <f t="shared" si="3"/>
        <v>1.7941747572815532</v>
      </c>
      <c r="O27" s="12"/>
      <c r="P27" s="7">
        <v>2935.5</v>
      </c>
      <c r="Q27" s="3"/>
      <c r="R27" s="8">
        <f t="shared" si="4"/>
        <v>0</v>
      </c>
      <c r="S27" s="3"/>
      <c r="T27" s="7">
        <v>951.72</v>
      </c>
      <c r="U27" s="3"/>
      <c r="V27" s="8">
        <f t="shared" si="5"/>
        <v>0</v>
      </c>
      <c r="W27" s="3"/>
      <c r="X27" s="7">
        <f t="shared" si="6"/>
        <v>1983.78</v>
      </c>
      <c r="Y27" s="3"/>
      <c r="Z27" s="8">
        <f t="shared" si="7"/>
        <v>2.0844155844155843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118.83</v>
      </c>
      <c r="E28" s="3"/>
      <c r="F28" s="8">
        <f t="shared" si="0"/>
        <v>0</v>
      </c>
      <c r="G28" s="3"/>
      <c r="H28" s="7">
        <v>175</v>
      </c>
      <c r="I28" s="3"/>
      <c r="J28" s="8">
        <f t="shared" si="1"/>
        <v>0</v>
      </c>
      <c r="K28" s="3"/>
      <c r="L28" s="7">
        <f t="shared" si="2"/>
        <v>-56.17</v>
      </c>
      <c r="M28" s="3"/>
      <c r="N28" s="8">
        <f t="shared" si="3"/>
        <v>-0.32097142857142857</v>
      </c>
      <c r="O28" s="12"/>
      <c r="P28" s="7">
        <v>1646.53</v>
      </c>
      <c r="Q28" s="3"/>
      <c r="R28" s="8">
        <f t="shared" si="4"/>
        <v>0</v>
      </c>
      <c r="S28" s="3"/>
      <c r="T28" s="7">
        <v>1750</v>
      </c>
      <c r="U28" s="3"/>
      <c r="V28" s="8">
        <f t="shared" si="5"/>
        <v>0</v>
      </c>
      <c r="W28" s="3"/>
      <c r="X28" s="7">
        <f t="shared" si="6"/>
        <v>-103.47000000000003</v>
      </c>
      <c r="Y28" s="3"/>
      <c r="Z28" s="8">
        <f t="shared" si="7"/>
        <v>-5.9125714285714302E-2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3057.33</v>
      </c>
      <c r="E29" s="2"/>
      <c r="F29" s="6">
        <f t="shared" si="0"/>
        <v>0</v>
      </c>
      <c r="G29" s="2"/>
      <c r="H29" s="2">
        <f>SUM(OSRRefH22_1x_0)</f>
        <v>5028.9750000000004</v>
      </c>
      <c r="I29" s="2"/>
      <c r="J29" s="6">
        <f t="shared" si="1"/>
        <v>0</v>
      </c>
      <c r="K29" s="2"/>
      <c r="L29" s="2">
        <f t="shared" si="2"/>
        <v>-1971.6450000000004</v>
      </c>
      <c r="M29" s="2"/>
      <c r="N29" s="6">
        <f t="shared" si="3"/>
        <v>-0.39205702951396665</v>
      </c>
      <c r="O29" s="14"/>
      <c r="P29" s="2">
        <f>SUM(OSRRefP22_1x_0)</f>
        <v>41325.89</v>
      </c>
      <c r="Q29" s="2"/>
      <c r="R29" s="6">
        <f t="shared" si="4"/>
        <v>0</v>
      </c>
      <c r="S29" s="2"/>
      <c r="T29" s="2">
        <f>SUM(OSRRefT22_1x_0)</f>
        <v>44254.98</v>
      </c>
      <c r="U29" s="2"/>
      <c r="V29" s="6">
        <f t="shared" si="5"/>
        <v>0</v>
      </c>
      <c r="W29" s="2"/>
      <c r="X29" s="2">
        <f t="shared" si="6"/>
        <v>-2929.0900000000038</v>
      </c>
      <c r="Y29" s="2"/>
      <c r="Z29" s="6">
        <f t="shared" si="7"/>
        <v>-6.6186675488272811E-2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3057.33</v>
      </c>
      <c r="E31" s="3"/>
      <c r="F31" s="8">
        <f t="shared" si="0"/>
        <v>0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3057.33</v>
      </c>
      <c r="M31" s="3"/>
      <c r="N31" s="8">
        <f t="shared" si="3"/>
        <v>0</v>
      </c>
      <c r="O31" s="12"/>
      <c r="P31" s="7">
        <v>41325.89</v>
      </c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41325.89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5028.9750000000004</v>
      </c>
      <c r="I33" s="3"/>
      <c r="J33" s="8">
        <f t="shared" si="1"/>
        <v>0</v>
      </c>
      <c r="K33" s="3"/>
      <c r="L33" s="7">
        <f t="shared" si="2"/>
        <v>-5028.9750000000004</v>
      </c>
      <c r="M33" s="3"/>
      <c r="N33" s="8">
        <f t="shared" si="3"/>
        <v>-1</v>
      </c>
      <c r="O33" s="12"/>
      <c r="P33" s="7"/>
      <c r="Q33" s="3"/>
      <c r="R33" s="8">
        <f t="shared" si="4"/>
        <v>0</v>
      </c>
      <c r="S33" s="3"/>
      <c r="T33" s="7">
        <v>44254.98</v>
      </c>
      <c r="U33" s="3"/>
      <c r="V33" s="8">
        <f t="shared" si="5"/>
        <v>0</v>
      </c>
      <c r="W33" s="3"/>
      <c r="X33" s="7">
        <f t="shared" si="6"/>
        <v>-44254.98</v>
      </c>
      <c r="Y33" s="3"/>
      <c r="Z33" s="8">
        <f t="shared" si="7"/>
        <v>-1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","General                                           ")</f>
        <v xml:space="preserve">     General       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-1613.22</v>
      </c>
      <c r="Q40" s="2"/>
      <c r="R40" s="6">
        <f t="shared" si="4"/>
        <v>0</v>
      </c>
      <c r="S40" s="2"/>
      <c r="T40" s="2">
        <f>SUM(OSRRefT22_2x_0)</f>
        <v>-750</v>
      </c>
      <c r="U40" s="2"/>
      <c r="V40" s="6">
        <f t="shared" si="5"/>
        <v>0</v>
      </c>
      <c r="W40" s="2"/>
      <c r="X40" s="2">
        <f t="shared" si="6"/>
        <v>-863.22</v>
      </c>
      <c r="Y40" s="2"/>
      <c r="Z40" s="6">
        <f t="shared" si="7"/>
        <v>1.15096</v>
      </c>
    </row>
    <row r="41" spans="1:26" s="70" customFormat="1" ht="15" hidden="1" customHeight="1" outlineLevel="2" x14ac:dyDescent="0.3">
      <c r="A41" s="26"/>
      <c r="B41" s="12" t="str">
        <f>CONCATENATE("          ","6279"," - ","GENERAL EXPENSE")</f>
        <v xml:space="preserve">          6279 - GENERAL EXPENSE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-1613.22</v>
      </c>
      <c r="Q41" s="3"/>
      <c r="R41" s="8">
        <f t="shared" si="4"/>
        <v>0</v>
      </c>
      <c r="S41" s="3"/>
      <c r="T41" s="7">
        <v>-750</v>
      </c>
      <c r="U41" s="3"/>
      <c r="V41" s="8">
        <f t="shared" si="5"/>
        <v>0</v>
      </c>
      <c r="W41" s="3"/>
      <c r="X41" s="7">
        <f t="shared" si="6"/>
        <v>-863.22</v>
      </c>
      <c r="Y41" s="3"/>
      <c r="Z41" s="8">
        <f t="shared" si="7"/>
        <v>1.15096</v>
      </c>
    </row>
    <row r="42" spans="1:26" s="69" customFormat="1" ht="15" customHeight="1" outlineLevel="1" collapsed="1" x14ac:dyDescent="0.3">
      <c r="A42" s="25"/>
      <c r="B42" s="14" t="str">
        <f>CONCATENATE("     ","Insurance                                         ")</f>
        <v xml:space="preserve">     Insurance                                         </v>
      </c>
      <c r="C42" s="14"/>
      <c r="D42" s="2">
        <f>SUM(OSRRefD22_3x_0)</f>
        <v>33.380000000000003</v>
      </c>
      <c r="E42" s="2"/>
      <c r="F42" s="6">
        <f t="shared" si="0"/>
        <v>0</v>
      </c>
      <c r="G42" s="2"/>
      <c r="H42" s="2">
        <f>SUM(OSRRefH22_3x_0)</f>
        <v>35</v>
      </c>
      <c r="I42" s="2"/>
      <c r="J42" s="6">
        <f t="shared" si="1"/>
        <v>0</v>
      </c>
      <c r="K42" s="2"/>
      <c r="L42" s="2">
        <f t="shared" si="2"/>
        <v>-1.6199999999999974</v>
      </c>
      <c r="M42" s="2"/>
      <c r="N42" s="6">
        <f t="shared" si="3"/>
        <v>-4.6285714285714215E-2</v>
      </c>
      <c r="O42" s="14"/>
      <c r="P42" s="2">
        <f>SUM(OSRRefP22_3x_0)</f>
        <v>333.8</v>
      </c>
      <c r="Q42" s="2"/>
      <c r="R42" s="6">
        <f t="shared" si="4"/>
        <v>0</v>
      </c>
      <c r="S42" s="2"/>
      <c r="T42" s="2">
        <f>SUM(OSRRefT22_3x_0)</f>
        <v>350</v>
      </c>
      <c r="U42" s="2"/>
      <c r="V42" s="6">
        <f t="shared" si="5"/>
        <v>0</v>
      </c>
      <c r="W42" s="2"/>
      <c r="X42" s="2">
        <f t="shared" si="6"/>
        <v>-16.199999999999989</v>
      </c>
      <c r="Y42" s="2"/>
      <c r="Z42" s="6">
        <f t="shared" si="7"/>
        <v>-4.6285714285714256E-2</v>
      </c>
    </row>
    <row r="43" spans="1:26" s="70" customFormat="1" ht="15" hidden="1" customHeight="1" outlineLevel="2" x14ac:dyDescent="0.3">
      <c r="A43" s="26"/>
      <c r="B43" s="12" t="str">
        <f>CONCATENATE("          ","6314"," - ","LIABILITY INSURANCE")</f>
        <v xml:space="preserve">          6314 - LIABILITY INSURANCE</v>
      </c>
      <c r="C43" s="12"/>
      <c r="D43" s="7">
        <v>33.380000000000003</v>
      </c>
      <c r="E43" s="3"/>
      <c r="F43" s="8">
        <f t="shared" si="0"/>
        <v>0</v>
      </c>
      <c r="G43" s="3"/>
      <c r="H43" s="7">
        <v>35</v>
      </c>
      <c r="I43" s="3"/>
      <c r="J43" s="8">
        <f t="shared" si="1"/>
        <v>0</v>
      </c>
      <c r="K43" s="3"/>
      <c r="L43" s="7">
        <f t="shared" si="2"/>
        <v>-1.6199999999999974</v>
      </c>
      <c r="M43" s="3"/>
      <c r="N43" s="8">
        <f t="shared" si="3"/>
        <v>-4.6285714285714215E-2</v>
      </c>
      <c r="O43" s="12"/>
      <c r="P43" s="7">
        <v>333.8</v>
      </c>
      <c r="Q43" s="3"/>
      <c r="R43" s="8">
        <f t="shared" si="4"/>
        <v>0</v>
      </c>
      <c r="S43" s="3"/>
      <c r="T43" s="7">
        <v>350</v>
      </c>
      <c r="U43" s="3"/>
      <c r="V43" s="8">
        <f t="shared" si="5"/>
        <v>0</v>
      </c>
      <c r="W43" s="3"/>
      <c r="X43" s="7">
        <f t="shared" si="6"/>
        <v>-16.199999999999989</v>
      </c>
      <c r="Y43" s="3"/>
      <c r="Z43" s="8">
        <f t="shared" si="7"/>
        <v>-4.6285714285714256E-2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946.3</v>
      </c>
      <c r="E44" s="2"/>
      <c r="F44" s="6">
        <f t="shared" si="0"/>
        <v>0</v>
      </c>
      <c r="G44" s="2"/>
      <c r="H44" s="2">
        <f>SUM(OSRRefH22_4x_0)</f>
        <v>6500</v>
      </c>
      <c r="I44" s="2"/>
      <c r="J44" s="6">
        <f t="shared" si="1"/>
        <v>0</v>
      </c>
      <c r="K44" s="2"/>
      <c r="L44" s="2">
        <f t="shared" si="2"/>
        <v>-5553.7</v>
      </c>
      <c r="M44" s="2"/>
      <c r="N44" s="6">
        <f t="shared" si="3"/>
        <v>-0.85441538461538458</v>
      </c>
      <c r="O44" s="14"/>
      <c r="P44" s="2">
        <f>SUM(OSRRefP22_4x_0)</f>
        <v>12134.14</v>
      </c>
      <c r="Q44" s="2"/>
      <c r="R44" s="6">
        <f t="shared" si="4"/>
        <v>0</v>
      </c>
      <c r="S44" s="2"/>
      <c r="T44" s="2">
        <f>SUM(OSRRefT22_4x_0)</f>
        <v>18600</v>
      </c>
      <c r="U44" s="2"/>
      <c r="V44" s="6">
        <f t="shared" si="5"/>
        <v>0</v>
      </c>
      <c r="W44" s="2"/>
      <c r="X44" s="2">
        <f t="shared" si="6"/>
        <v>-6465.8600000000006</v>
      </c>
      <c r="Y44" s="2"/>
      <c r="Z44" s="6">
        <f t="shared" si="7"/>
        <v>-0.34762688172043016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7"/>
      <c r="E45" s="3"/>
      <c r="F45" s="8">
        <f t="shared" si="0"/>
        <v>0</v>
      </c>
      <c r="G45" s="3"/>
      <c r="H45" s="7">
        <v>5000</v>
      </c>
      <c r="I45" s="3"/>
      <c r="J45" s="8">
        <f t="shared" si="1"/>
        <v>0</v>
      </c>
      <c r="K45" s="3"/>
      <c r="L45" s="7">
        <f t="shared" si="2"/>
        <v>-5000</v>
      </c>
      <c r="M45" s="3"/>
      <c r="N45" s="8">
        <f t="shared" si="3"/>
        <v>-1</v>
      </c>
      <c r="O45" s="12"/>
      <c r="P45" s="7"/>
      <c r="Q45" s="3"/>
      <c r="R45" s="8">
        <f t="shared" si="4"/>
        <v>0</v>
      </c>
      <c r="S45" s="3"/>
      <c r="T45" s="7">
        <v>5000</v>
      </c>
      <c r="U45" s="3"/>
      <c r="V45" s="8">
        <f t="shared" si="5"/>
        <v>0</v>
      </c>
      <c r="W45" s="3"/>
      <c r="X45" s="7">
        <f t="shared" si="6"/>
        <v>-5000</v>
      </c>
      <c r="Y45" s="3"/>
      <c r="Z45" s="8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","6373"," - ","MAINTENANCE CONTRACTS")</f>
        <v xml:space="preserve">          6373 - MAINTENANCE CONTRACTS</v>
      </c>
      <c r="C46" s="12"/>
      <c r="D46" s="7">
        <v>946.3</v>
      </c>
      <c r="E46" s="3"/>
      <c r="F46" s="8">
        <f t="shared" si="0"/>
        <v>0</v>
      </c>
      <c r="G46" s="3"/>
      <c r="H46" s="7">
        <v>1500</v>
      </c>
      <c r="I46" s="3"/>
      <c r="J46" s="8">
        <f t="shared" si="1"/>
        <v>0</v>
      </c>
      <c r="K46" s="3"/>
      <c r="L46" s="7">
        <f t="shared" si="2"/>
        <v>-553.70000000000005</v>
      </c>
      <c r="M46" s="3"/>
      <c r="N46" s="8">
        <f t="shared" si="3"/>
        <v>-0.36913333333333337</v>
      </c>
      <c r="O46" s="12"/>
      <c r="P46" s="7">
        <v>12045.88</v>
      </c>
      <c r="Q46" s="3"/>
      <c r="R46" s="8">
        <f t="shared" si="4"/>
        <v>0</v>
      </c>
      <c r="S46" s="3"/>
      <c r="T46" s="7">
        <v>13600</v>
      </c>
      <c r="U46" s="3"/>
      <c r="V46" s="8">
        <f t="shared" si="5"/>
        <v>0</v>
      </c>
      <c r="W46" s="3"/>
      <c r="X46" s="7">
        <f t="shared" si="6"/>
        <v>-1554.1200000000008</v>
      </c>
      <c r="Y46" s="3"/>
      <c r="Z46" s="8">
        <f t="shared" si="7"/>
        <v>-0.11427352941176476</v>
      </c>
    </row>
    <row r="47" spans="1:26" s="70" customFormat="1" ht="15" hidden="1" customHeight="1" outlineLevel="2" x14ac:dyDescent="0.3">
      <c r="A47" s="26"/>
      <c r="B47" s="12" t="str">
        <f>CONCATENATE("          ","6375"," - ","OUTSIDE REPAIRS &amp; MAINTENANCE")</f>
        <v xml:space="preserve">          6375 - OUTSIDE REPAIRS &amp; MAINTENANCE</v>
      </c>
      <c r="C47" s="12"/>
      <c r="D47" s="7">
        <v>0</v>
      </c>
      <c r="E47" s="3"/>
      <c r="F47" s="8">
        <f t="shared" si="0"/>
        <v>0</v>
      </c>
      <c r="G47" s="3"/>
      <c r="H47" s="7"/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88.26</v>
      </c>
      <c r="Q47" s="3"/>
      <c r="R47" s="8">
        <f t="shared" si="4"/>
        <v>0</v>
      </c>
      <c r="S47" s="3"/>
      <c r="T47" s="7"/>
      <c r="U47" s="3"/>
      <c r="V47" s="8">
        <f t="shared" si="5"/>
        <v>0</v>
      </c>
      <c r="W47" s="3"/>
      <c r="X47" s="7">
        <f t="shared" si="6"/>
        <v>88.26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","Services                                          ")</f>
        <v xml:space="preserve">     Services           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25</v>
      </c>
      <c r="I48" s="2"/>
      <c r="J48" s="6">
        <f t="shared" si="1"/>
        <v>0</v>
      </c>
      <c r="K48" s="2"/>
      <c r="L48" s="2">
        <f t="shared" si="2"/>
        <v>-25</v>
      </c>
      <c r="M48" s="2"/>
      <c r="N48" s="6">
        <f t="shared" si="3"/>
        <v>-1</v>
      </c>
      <c r="O48" s="14"/>
      <c r="P48" s="2">
        <f>SUM(OSRRefP22_5x_0)</f>
        <v>0</v>
      </c>
      <c r="Q48" s="2"/>
      <c r="R48" s="6">
        <f t="shared" si="4"/>
        <v>0</v>
      </c>
      <c r="S48" s="2"/>
      <c r="T48" s="2">
        <f>SUM(OSRRefT22_5x_0)</f>
        <v>250</v>
      </c>
      <c r="U48" s="2"/>
      <c r="V48" s="6">
        <f t="shared" si="5"/>
        <v>0</v>
      </c>
      <c r="W48" s="2"/>
      <c r="X48" s="2">
        <f t="shared" si="6"/>
        <v>-250</v>
      </c>
      <c r="Y48" s="2"/>
      <c r="Z48" s="6">
        <f t="shared" si="7"/>
        <v>-1</v>
      </c>
    </row>
    <row r="49" spans="1:26" s="70" customFormat="1" ht="15" hidden="1" customHeight="1" outlineLevel="2" x14ac:dyDescent="0.3">
      <c r="A49" s="26"/>
      <c r="B49" s="12" t="str">
        <f>CONCATENATE("          ","6286"," - ","LAUNDRY EXPENSE")</f>
        <v xml:space="preserve">          6286 - LAUNDRY EXPENSE</v>
      </c>
      <c r="C49" s="12"/>
      <c r="D49" s="7"/>
      <c r="E49" s="3"/>
      <c r="F49" s="8">
        <f t="shared" si="0"/>
        <v>0</v>
      </c>
      <c r="G49" s="3"/>
      <c r="H49" s="7">
        <v>25</v>
      </c>
      <c r="I49" s="3"/>
      <c r="J49" s="8">
        <f t="shared" si="1"/>
        <v>0</v>
      </c>
      <c r="K49" s="3"/>
      <c r="L49" s="7">
        <f t="shared" si="2"/>
        <v>-25</v>
      </c>
      <c r="M49" s="3"/>
      <c r="N49" s="8">
        <f t="shared" si="3"/>
        <v>-1</v>
      </c>
      <c r="O49" s="12"/>
      <c r="P49" s="7"/>
      <c r="Q49" s="3"/>
      <c r="R49" s="8">
        <f t="shared" si="4"/>
        <v>0</v>
      </c>
      <c r="S49" s="3"/>
      <c r="T49" s="7">
        <v>250</v>
      </c>
      <c r="U49" s="3"/>
      <c r="V49" s="8">
        <f t="shared" si="5"/>
        <v>0</v>
      </c>
      <c r="W49" s="3"/>
      <c r="X49" s="7">
        <f t="shared" si="6"/>
        <v>-250</v>
      </c>
      <c r="Y49" s="3"/>
      <c r="Z49" s="8">
        <f t="shared" si="7"/>
        <v>-1</v>
      </c>
    </row>
    <row r="50" spans="1:26" s="69" customFormat="1" ht="15" customHeight="1" outlineLevel="1" collapsed="1" x14ac:dyDescent="0.3">
      <c r="A50" s="25"/>
      <c r="B50" s="14" t="str">
        <f>CONCATENATE("     ","Supplies                                          ")</f>
        <v xml:space="preserve">     Supplies                                          </v>
      </c>
      <c r="C50" s="14"/>
      <c r="D50" s="2">
        <f>SUM(OSRRefD22_6x_0)</f>
        <v>0</v>
      </c>
      <c r="E50" s="2"/>
      <c r="F50" s="6">
        <f t="shared" si="0"/>
        <v>0</v>
      </c>
      <c r="G50" s="2"/>
      <c r="H50" s="2">
        <f>SUM(OSRRefH22_6x_0)</f>
        <v>25</v>
      </c>
      <c r="I50" s="2"/>
      <c r="J50" s="6">
        <f t="shared" si="1"/>
        <v>0</v>
      </c>
      <c r="K50" s="2"/>
      <c r="L50" s="2">
        <f t="shared" si="2"/>
        <v>-25</v>
      </c>
      <c r="M50" s="2"/>
      <c r="N50" s="6">
        <f t="shared" si="3"/>
        <v>-1</v>
      </c>
      <c r="O50" s="14"/>
      <c r="P50" s="2">
        <f>SUM(OSRRefP22_6x_0)</f>
        <v>452.54999999999995</v>
      </c>
      <c r="Q50" s="2"/>
      <c r="R50" s="6">
        <f t="shared" si="4"/>
        <v>0</v>
      </c>
      <c r="S50" s="2"/>
      <c r="T50" s="2">
        <f>SUM(OSRRefT22_6x_0)</f>
        <v>5250</v>
      </c>
      <c r="U50" s="2"/>
      <c r="V50" s="6">
        <f t="shared" si="5"/>
        <v>0</v>
      </c>
      <c r="W50" s="2"/>
      <c r="X50" s="2">
        <f t="shared" si="6"/>
        <v>-4797.45</v>
      </c>
      <c r="Y50" s="2"/>
      <c r="Z50" s="6">
        <f t="shared" si="7"/>
        <v>-0.91379999999999995</v>
      </c>
    </row>
    <row r="51" spans="1:26" s="70" customFormat="1" ht="15" hidden="1" customHeight="1" outlineLevel="2" x14ac:dyDescent="0.3">
      <c r="A51" s="26"/>
      <c r="B51" s="12" t="str">
        <f>CONCATENATE("          ","6234"," - ","EXPENDABLE SUPPLIES &amp; EQUIPMEN")</f>
        <v xml:space="preserve">          6234 - EXPENDABLE SUPPLIES &amp; EQUIPMEN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242.35</v>
      </c>
      <c r="Q51" s="3"/>
      <c r="R51" s="8">
        <f t="shared" si="4"/>
        <v>0</v>
      </c>
      <c r="S51" s="3"/>
      <c r="T51" s="7"/>
      <c r="U51" s="3"/>
      <c r="V51" s="8">
        <f t="shared" si="5"/>
        <v>0</v>
      </c>
      <c r="W51" s="3"/>
      <c r="X51" s="7">
        <f t="shared" si="6"/>
        <v>242.35</v>
      </c>
      <c r="Y51" s="3"/>
      <c r="Z51" s="8">
        <f t="shared" si="7"/>
        <v>0</v>
      </c>
    </row>
    <row r="52" spans="1:26" s="70" customFormat="1" ht="15" hidden="1" customHeight="1" outlineLevel="2" x14ac:dyDescent="0.3">
      <c r="A52" s="26"/>
      <c r="B52" s="12" t="str">
        <f>CONCATENATE("          ","6241"," - ","OFFICE EXPENSE")</f>
        <v xml:space="preserve">          6241 - OFFICE EXPENSE</v>
      </c>
      <c r="C52" s="12"/>
      <c r="D52" s="7"/>
      <c r="E52" s="3"/>
      <c r="F52" s="8">
        <f t="shared" si="0"/>
        <v>0</v>
      </c>
      <c r="G52" s="3"/>
      <c r="H52" s="7">
        <v>25</v>
      </c>
      <c r="I52" s="3"/>
      <c r="J52" s="8">
        <f t="shared" si="1"/>
        <v>0</v>
      </c>
      <c r="K52" s="3"/>
      <c r="L52" s="7">
        <f t="shared" si="2"/>
        <v>-25</v>
      </c>
      <c r="M52" s="3"/>
      <c r="N52" s="8">
        <f t="shared" si="3"/>
        <v>-1</v>
      </c>
      <c r="O52" s="12"/>
      <c r="P52" s="7">
        <v>210.2</v>
      </c>
      <c r="Q52" s="3"/>
      <c r="R52" s="8">
        <f t="shared" si="4"/>
        <v>0</v>
      </c>
      <c r="S52" s="3"/>
      <c r="T52" s="7">
        <v>250</v>
      </c>
      <c r="U52" s="3"/>
      <c r="V52" s="8">
        <f t="shared" si="5"/>
        <v>0</v>
      </c>
      <c r="W52" s="3"/>
      <c r="X52" s="7">
        <f t="shared" si="6"/>
        <v>-39.800000000000011</v>
      </c>
      <c r="Y52" s="3"/>
      <c r="Z52" s="8">
        <f t="shared" si="7"/>
        <v>-0.15920000000000004</v>
      </c>
    </row>
    <row r="53" spans="1:26" s="70" customFormat="1" ht="15" hidden="1" customHeight="1" outlineLevel="2" x14ac:dyDescent="0.3">
      <c r="A53" s="26"/>
      <c r="B53" s="12" t="str">
        <f>CONCATENATE("          ","6247"," - ","STORE SUPPLIES")</f>
        <v xml:space="preserve">          6247 - STORE SUPPLIES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/>
      <c r="Q53" s="3"/>
      <c r="R53" s="8">
        <f t="shared" si="4"/>
        <v>0</v>
      </c>
      <c r="S53" s="3"/>
      <c r="T53" s="7">
        <v>5000</v>
      </c>
      <c r="U53" s="3"/>
      <c r="V53" s="8">
        <f t="shared" si="5"/>
        <v>0</v>
      </c>
      <c r="W53" s="3"/>
      <c r="X53" s="7">
        <f t="shared" si="6"/>
        <v>-5000</v>
      </c>
      <c r="Y53" s="3"/>
      <c r="Z53" s="8">
        <f t="shared" si="7"/>
        <v>-1</v>
      </c>
    </row>
    <row r="54" spans="1:26" s="69" customFormat="1" ht="15" customHeight="1" outlineLevel="1" collapsed="1" x14ac:dyDescent="0.3">
      <c r="A54" s="25"/>
      <c r="B54" s="14" t="str">
        <f>CONCATENATE("     ","Telephone/Data Lines                              ")</f>
        <v xml:space="preserve">     Telephone/Data Lines                              </v>
      </c>
      <c r="C54" s="14"/>
      <c r="D54" s="2">
        <f>SUM(OSRRefD22_7x_0)</f>
        <v>173</v>
      </c>
      <c r="E54" s="2"/>
      <c r="F54" s="6">
        <f t="shared" si="0"/>
        <v>0</v>
      </c>
      <c r="G54" s="2"/>
      <c r="H54" s="2">
        <f>SUM(OSRRefH22_7x_0)</f>
        <v>125</v>
      </c>
      <c r="I54" s="2"/>
      <c r="J54" s="6">
        <f t="shared" si="1"/>
        <v>0</v>
      </c>
      <c r="K54" s="2"/>
      <c r="L54" s="2">
        <f t="shared" si="2"/>
        <v>48</v>
      </c>
      <c r="M54" s="2"/>
      <c r="N54" s="6">
        <f t="shared" si="3"/>
        <v>0.38400000000000001</v>
      </c>
      <c r="O54" s="14"/>
      <c r="P54" s="2">
        <f>SUM(OSRRefP22_7x_0)</f>
        <v>1005</v>
      </c>
      <c r="Q54" s="2"/>
      <c r="R54" s="6">
        <f t="shared" si="4"/>
        <v>0</v>
      </c>
      <c r="S54" s="2"/>
      <c r="T54" s="2">
        <f>SUM(OSRRefT22_7x_0)</f>
        <v>1250</v>
      </c>
      <c r="U54" s="2"/>
      <c r="V54" s="6">
        <f t="shared" si="5"/>
        <v>0</v>
      </c>
      <c r="W54" s="2"/>
      <c r="X54" s="2">
        <f t="shared" si="6"/>
        <v>-245</v>
      </c>
      <c r="Y54" s="2"/>
      <c r="Z54" s="6">
        <f t="shared" si="7"/>
        <v>-0.19600000000000001</v>
      </c>
    </row>
    <row r="55" spans="1:26" s="70" customFormat="1" ht="15" hidden="1" customHeight="1" outlineLevel="2" x14ac:dyDescent="0.3">
      <c r="A55" s="26"/>
      <c r="B55" s="12" t="str">
        <f>CONCATENATE("          ","6309"," - ","TELEPHONE")</f>
        <v xml:space="preserve">          6309 - TELEPHONE</v>
      </c>
      <c r="C55" s="12"/>
      <c r="D55" s="7">
        <v>173</v>
      </c>
      <c r="E55" s="3"/>
      <c r="F55" s="8">
        <f t="shared" si="0"/>
        <v>0</v>
      </c>
      <c r="G55" s="3"/>
      <c r="H55" s="7">
        <v>125</v>
      </c>
      <c r="I55" s="3"/>
      <c r="J55" s="8">
        <f t="shared" si="1"/>
        <v>0</v>
      </c>
      <c r="K55" s="3"/>
      <c r="L55" s="7">
        <f t="shared" si="2"/>
        <v>48</v>
      </c>
      <c r="M55" s="3"/>
      <c r="N55" s="8">
        <f t="shared" si="3"/>
        <v>0.38400000000000001</v>
      </c>
      <c r="O55" s="12"/>
      <c r="P55" s="7">
        <v>1005</v>
      </c>
      <c r="Q55" s="3"/>
      <c r="R55" s="8">
        <f t="shared" si="4"/>
        <v>0</v>
      </c>
      <c r="S55" s="3"/>
      <c r="T55" s="7">
        <v>1250</v>
      </c>
      <c r="U55" s="3"/>
      <c r="V55" s="8">
        <f t="shared" si="5"/>
        <v>0</v>
      </c>
      <c r="W55" s="3"/>
      <c r="X55" s="7">
        <f t="shared" si="6"/>
        <v>-245</v>
      </c>
      <c r="Y55" s="3"/>
      <c r="Z55" s="8">
        <f t="shared" si="7"/>
        <v>-0.19600000000000001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8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7" t="s">
        <v>292</v>
      </c>
      <c r="C59" s="27"/>
      <c r="D59" s="21">
        <f>+D16-D18+D57</f>
        <v>-7389.5300000000007</v>
      </c>
      <c r="E59" s="15"/>
      <c r="F59" s="23">
        <f>IF(D$12=0,0,D59/D$12)</f>
        <v>0</v>
      </c>
      <c r="G59" s="15"/>
      <c r="H59" s="21">
        <f>+H16-H18+H57</f>
        <v>-14013.708225</v>
      </c>
      <c r="I59" s="15"/>
      <c r="J59" s="23">
        <f>IF(H$12=0,0,H59/H$12)</f>
        <v>0</v>
      </c>
      <c r="K59" s="17"/>
      <c r="L59" s="21">
        <f>+D59-H59</f>
        <v>6624.1782249999997</v>
      </c>
      <c r="M59" s="17"/>
      <c r="N59" s="23">
        <f>IF(H59=0,0,L59/H59)</f>
        <v>-0.47269274617710971</v>
      </c>
      <c r="O59" s="28"/>
      <c r="P59" s="21">
        <f>+P16-P18+P57</f>
        <v>-80941.87000000001</v>
      </c>
      <c r="Q59" s="15"/>
      <c r="R59" s="23">
        <f>IF(P$12=0,0,P59/P$12)</f>
        <v>0</v>
      </c>
      <c r="S59" s="15"/>
      <c r="T59" s="21">
        <f>+T16-T18+T57</f>
        <v>-89432.63238000001</v>
      </c>
      <c r="U59" s="15"/>
      <c r="V59" s="23">
        <f>IF(T$12=0,0,T59/T$12)</f>
        <v>0</v>
      </c>
      <c r="W59" s="17"/>
      <c r="X59" s="21">
        <f>+P59-T59</f>
        <v>8490.7623800000001</v>
      </c>
      <c r="Y59" s="17"/>
      <c r="Z59" s="23">
        <f>IF(T59=0,0,X59/T59)</f>
        <v>-9.494031601264602E-2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/>
      <c r="E61" s="5"/>
      <c r="F61" s="13">
        <f>IF(D$12=0,0,D61/D$12)</f>
        <v>0</v>
      </c>
      <c r="G61" s="5"/>
      <c r="H61" s="5"/>
      <c r="I61" s="5"/>
      <c r="J61" s="13">
        <f>IF(H$12=0,0,H61/H$12)</f>
        <v>0</v>
      </c>
      <c r="K61" s="5"/>
      <c r="L61" s="5">
        <f>+D61-H61</f>
        <v>0</v>
      </c>
      <c r="M61" s="5"/>
      <c r="N61" s="13">
        <f>IF(H61=0,0,L61/H61)</f>
        <v>0</v>
      </c>
      <c r="O61" s="11"/>
      <c r="P61" s="5"/>
      <c r="Q61" s="5"/>
      <c r="R61" s="13">
        <f>IF(P$12=0,0,P61/P$12)</f>
        <v>0</v>
      </c>
      <c r="S61" s="5"/>
      <c r="T61" s="5"/>
      <c r="U61" s="5"/>
      <c r="V61" s="13">
        <f>IF(T$12=0,0,T61/T$12)</f>
        <v>0</v>
      </c>
      <c r="W61" s="5"/>
      <c r="X61" s="5">
        <f>+P61-T61</f>
        <v>0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7" t="s">
        <v>294</v>
      </c>
      <c r="C63" s="27"/>
      <c r="D63" s="29">
        <f>+D59-D61</f>
        <v>-7389.5300000000007</v>
      </c>
      <c r="E63" s="15"/>
      <c r="F63" s="30">
        <f>IF(D$12=0,0,D63/D$12)</f>
        <v>0</v>
      </c>
      <c r="G63" s="15"/>
      <c r="H63" s="29">
        <f>+H59-H61</f>
        <v>-14013.708225</v>
      </c>
      <c r="I63" s="15"/>
      <c r="J63" s="30">
        <f>IF(H$12=0,0,H63/H$12)</f>
        <v>0</v>
      </c>
      <c r="K63" s="17"/>
      <c r="L63" s="29">
        <f>D63-H63</f>
        <v>6624.1782249999997</v>
      </c>
      <c r="M63" s="17"/>
      <c r="N63" s="30">
        <f>IF(H63=0,0,L63/H63)</f>
        <v>-0.47269274617710971</v>
      </c>
      <c r="O63" s="28"/>
      <c r="P63" s="29">
        <f>+P59-P61</f>
        <v>-80941.87000000001</v>
      </c>
      <c r="Q63" s="15"/>
      <c r="R63" s="30">
        <f>IF(P$12=0,0,P63/P$12)</f>
        <v>0</v>
      </c>
      <c r="S63" s="15"/>
      <c r="T63" s="29">
        <f>+T59-T61</f>
        <v>-89432.63238000001</v>
      </c>
      <c r="U63" s="15"/>
      <c r="V63" s="30">
        <f>IF(T$12=0,0,T63/T$12)</f>
        <v>0</v>
      </c>
      <c r="W63" s="17"/>
      <c r="X63" s="29">
        <f>P63-T63</f>
        <v>8490.7623800000001</v>
      </c>
      <c r="Y63" s="17"/>
      <c r="Z63" s="30">
        <f>IF(T63=0,0,X63/T63)</f>
        <v>-9.494031601264602E-2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7" t="s">
        <v>297</v>
      </c>
      <c r="C66" s="27"/>
      <c r="D66" s="32">
        <f>SUM(D63:D65)</f>
        <v>-7389.5300000000007</v>
      </c>
      <c r="E66" s="15"/>
      <c r="F66" s="34">
        <f>IF(D$12=0,0,D66/D$12)</f>
        <v>0</v>
      </c>
      <c r="G66" s="15"/>
      <c r="H66" s="32">
        <f>SUM(H63:H65)</f>
        <v>-14013.708225</v>
      </c>
      <c r="I66" s="15"/>
      <c r="J66" s="34">
        <f>IF(H$12=0,0,H66/H$12)</f>
        <v>0</v>
      </c>
      <c r="K66" s="17"/>
      <c r="L66" s="32">
        <f>+D66-H66</f>
        <v>6624.1782249999997</v>
      </c>
      <c r="M66" s="17"/>
      <c r="N66" s="34">
        <f>IF(H66=0,0,L66/H66)</f>
        <v>-0.47269274617710971</v>
      </c>
      <c r="O66" s="28"/>
      <c r="P66" s="32">
        <f>SUM(P63:P65)</f>
        <v>-80941.87000000001</v>
      </c>
      <c r="Q66" s="15"/>
      <c r="R66" s="34">
        <f>IF(P$12=0,0,P66/P$12)</f>
        <v>0</v>
      </c>
      <c r="S66" s="15"/>
      <c r="T66" s="32">
        <f>SUM(T63:T65)</f>
        <v>-89432.63238000001</v>
      </c>
      <c r="U66" s="15"/>
      <c r="V66" s="34">
        <f>IF(T$12=0,0,T66/T$12)</f>
        <v>0</v>
      </c>
      <c r="W66" s="17"/>
      <c r="X66" s="32">
        <f>+P66-T66</f>
        <v>8490.7623800000001</v>
      </c>
      <c r="Y66" s="17"/>
      <c r="Z66" s="34">
        <f>IF(T66=0,0,X66/T66)</f>
        <v>-9.494031601264602E-2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6">
        <v>44694.888552430559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0" t="s">
        <v>298</v>
      </c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A70" s="10"/>
      <c r="B70" s="51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8543D-38B5-1065-907C-A757832DF4F6}">
  <sheetPr>
    <tabColor rgb="FF92D050"/>
    <outlinePr summaryBelow="0" summaryRight="0"/>
  </sheetPr>
  <dimension ref="A2:Z6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","206"," - ","Communications")</f>
        <v>Department 206 - Communications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11543.349999999999</v>
      </c>
      <c r="E18" s="22"/>
      <c r="F18" s="33">
        <f t="shared" ref="F18:F53" si="0">IF(D$12=0,0,D18/D$12)</f>
        <v>0</v>
      </c>
      <c r="G18" s="22"/>
      <c r="H18" s="22" cm="1">
        <f t="array" ref="H18">SUM(OSRRefH22x_0)</f>
        <v>14579.94678461538</v>
      </c>
      <c r="I18" s="22"/>
      <c r="J18" s="33">
        <f t="shared" ref="J18:J53" si="1">IF(H$12=0,0,H18/H$12)</f>
        <v>0</v>
      </c>
      <c r="K18" s="5"/>
      <c r="L18" s="22">
        <f t="shared" ref="L18:L53" si="2">+D18-H18</f>
        <v>-3036.5967846153817</v>
      </c>
      <c r="M18" s="5"/>
      <c r="N18" s="33">
        <f t="shared" ref="N18:N53" si="3">IF(H18=0,0,L18/H18)</f>
        <v>-0.2082721445745995</v>
      </c>
      <c r="O18" s="11"/>
      <c r="P18" s="22" cm="1">
        <f t="array" ref="P18">SUM(OSRRefP22x_0)</f>
        <v>89610.909999999989</v>
      </c>
      <c r="Q18" s="22"/>
      <c r="R18" s="33">
        <f t="shared" ref="R18:R53" si="4">IF(P$12=0,0,P18/P$12)</f>
        <v>0</v>
      </c>
      <c r="S18" s="22"/>
      <c r="T18" s="22" cm="1">
        <f t="array" ref="T18">SUM(OSRRefT22x_0)</f>
        <v>133877.0613046154</v>
      </c>
      <c r="U18" s="22"/>
      <c r="V18" s="33">
        <f t="shared" ref="V18:V53" si="5">IF(T$12=0,0,T18/T$12)</f>
        <v>0</v>
      </c>
      <c r="W18" s="5"/>
      <c r="X18" s="22">
        <f t="shared" ref="X18:X53" si="6">+P18-T18</f>
        <v>-44266.151304615414</v>
      </c>
      <c r="Y18" s="5"/>
      <c r="Z18" s="33">
        <f t="shared" ref="Z18:Z53" si="7">IF(T18=0,0,X18/T18)</f>
        <v>-0.33064776648999644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2090.77</v>
      </c>
      <c r="E19" s="2"/>
      <c r="F19" s="6">
        <f t="shared" si="0"/>
        <v>0</v>
      </c>
      <c r="G19" s="2"/>
      <c r="H19" s="2">
        <f>SUM(OSRRefH22_0x_0)</f>
        <v>2696.3467846153799</v>
      </c>
      <c r="I19" s="2"/>
      <c r="J19" s="6">
        <f t="shared" si="1"/>
        <v>0</v>
      </c>
      <c r="K19" s="2"/>
      <c r="L19" s="2">
        <f t="shared" si="2"/>
        <v>-605.57678461537989</v>
      </c>
      <c r="M19" s="2"/>
      <c r="N19" s="6">
        <f t="shared" si="3"/>
        <v>-0.22459158001138282</v>
      </c>
      <c r="O19" s="14"/>
      <c r="P19" s="2">
        <f>SUM(OSRRefP22_0x_0)</f>
        <v>17983.919999999998</v>
      </c>
      <c r="Q19" s="2"/>
      <c r="R19" s="6">
        <f t="shared" si="4"/>
        <v>0</v>
      </c>
      <c r="S19" s="2"/>
      <c r="T19" s="2">
        <f>SUM(OSRRefT22_0x_0)</f>
        <v>24574.5813046154</v>
      </c>
      <c r="U19" s="2"/>
      <c r="V19" s="6">
        <f t="shared" si="5"/>
        <v>0</v>
      </c>
      <c r="W19" s="2"/>
      <c r="X19" s="2">
        <f t="shared" si="6"/>
        <v>-6590.6613046154016</v>
      </c>
      <c r="Y19" s="2"/>
      <c r="Z19" s="6">
        <f t="shared" si="7"/>
        <v>-0.2681901767896081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938.33</v>
      </c>
      <c r="E20" s="3"/>
      <c r="F20" s="8">
        <f t="shared" si="0"/>
        <v>0</v>
      </c>
      <c r="G20" s="3"/>
      <c r="H20" s="7">
        <v>472.9554</v>
      </c>
      <c r="I20" s="3"/>
      <c r="J20" s="8">
        <f t="shared" si="1"/>
        <v>0</v>
      </c>
      <c r="K20" s="3"/>
      <c r="L20" s="7">
        <f t="shared" si="2"/>
        <v>465.37460000000004</v>
      </c>
      <c r="M20" s="3"/>
      <c r="N20" s="8">
        <f t="shared" si="3"/>
        <v>0.98397142732697429</v>
      </c>
      <c r="O20" s="12"/>
      <c r="P20" s="7">
        <v>4935.5600000000004</v>
      </c>
      <c r="Q20" s="3"/>
      <c r="R20" s="8">
        <f t="shared" si="4"/>
        <v>0</v>
      </c>
      <c r="S20" s="3"/>
      <c r="T20" s="7">
        <v>4798.7371199999998</v>
      </c>
      <c r="U20" s="3"/>
      <c r="V20" s="8">
        <f t="shared" si="5"/>
        <v>0</v>
      </c>
      <c r="W20" s="3"/>
      <c r="X20" s="7">
        <f t="shared" si="6"/>
        <v>136.82288000000062</v>
      </c>
      <c r="Y20" s="3"/>
      <c r="Z20" s="8">
        <f t="shared" si="7"/>
        <v>2.8512268244441911E-2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106.63</v>
      </c>
      <c r="E21" s="3"/>
      <c r="F21" s="8">
        <f t="shared" si="0"/>
        <v>0</v>
      </c>
      <c r="G21" s="3"/>
      <c r="H21" s="7">
        <v>29.077999999999999</v>
      </c>
      <c r="I21" s="3"/>
      <c r="J21" s="8">
        <f t="shared" si="1"/>
        <v>0</v>
      </c>
      <c r="K21" s="3"/>
      <c r="L21" s="7">
        <f t="shared" si="2"/>
        <v>77.551999999999992</v>
      </c>
      <c r="M21" s="3"/>
      <c r="N21" s="8">
        <f t="shared" si="3"/>
        <v>2.6670334961139002</v>
      </c>
      <c r="O21" s="12"/>
      <c r="P21" s="7">
        <v>880.03</v>
      </c>
      <c r="Q21" s="3"/>
      <c r="R21" s="8">
        <f t="shared" si="4"/>
        <v>0</v>
      </c>
      <c r="S21" s="3"/>
      <c r="T21" s="7">
        <v>255.88640000000001</v>
      </c>
      <c r="U21" s="3"/>
      <c r="V21" s="8">
        <f t="shared" si="5"/>
        <v>0</v>
      </c>
      <c r="W21" s="3"/>
      <c r="X21" s="7">
        <f t="shared" si="6"/>
        <v>624.14359999999999</v>
      </c>
      <c r="Y21" s="3"/>
      <c r="Z21" s="8">
        <f t="shared" si="7"/>
        <v>2.4391433073426332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39.83</v>
      </c>
      <c r="E22" s="3"/>
      <c r="F22" s="8">
        <f t="shared" si="0"/>
        <v>0</v>
      </c>
      <c r="G22" s="3"/>
      <c r="H22" s="7">
        <v>1594.61538461538</v>
      </c>
      <c r="I22" s="3"/>
      <c r="J22" s="8">
        <f t="shared" si="1"/>
        <v>0</v>
      </c>
      <c r="K22" s="3"/>
      <c r="L22" s="7">
        <f t="shared" si="2"/>
        <v>-1554.7853846153801</v>
      </c>
      <c r="M22" s="3"/>
      <c r="N22" s="8">
        <f t="shared" si="3"/>
        <v>-0.97502219006271107</v>
      </c>
      <c r="O22" s="12"/>
      <c r="P22" s="7">
        <v>4375.79</v>
      </c>
      <c r="Q22" s="3"/>
      <c r="R22" s="8">
        <f t="shared" si="4"/>
        <v>0</v>
      </c>
      <c r="S22" s="3"/>
      <c r="T22" s="7">
        <v>14032.615384615399</v>
      </c>
      <c r="U22" s="3"/>
      <c r="V22" s="8">
        <f t="shared" si="5"/>
        <v>0</v>
      </c>
      <c r="W22" s="3"/>
      <c r="X22" s="7">
        <f t="shared" si="6"/>
        <v>-9656.8253846154003</v>
      </c>
      <c r="Y22" s="3"/>
      <c r="Z22" s="8">
        <f t="shared" si="7"/>
        <v>-0.68817003245187081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21.49</v>
      </c>
      <c r="E23" s="3"/>
      <c r="F23" s="8">
        <f t="shared" si="0"/>
        <v>0</v>
      </c>
      <c r="G23" s="3"/>
      <c r="H23" s="7">
        <v>19.698</v>
      </c>
      <c r="I23" s="3"/>
      <c r="J23" s="8">
        <f t="shared" si="1"/>
        <v>0</v>
      </c>
      <c r="K23" s="3"/>
      <c r="L23" s="7">
        <f t="shared" si="2"/>
        <v>1.791999999999998</v>
      </c>
      <c r="M23" s="3"/>
      <c r="N23" s="8">
        <f t="shared" si="3"/>
        <v>9.0973702914001323E-2</v>
      </c>
      <c r="O23" s="12"/>
      <c r="P23" s="7">
        <v>177.38</v>
      </c>
      <c r="Q23" s="3"/>
      <c r="R23" s="8">
        <f t="shared" si="4"/>
        <v>0</v>
      </c>
      <c r="S23" s="3"/>
      <c r="T23" s="7">
        <v>173.3424</v>
      </c>
      <c r="U23" s="3"/>
      <c r="V23" s="8">
        <f t="shared" si="5"/>
        <v>0</v>
      </c>
      <c r="W23" s="3"/>
      <c r="X23" s="7">
        <f t="shared" si="6"/>
        <v>4.0375999999999976</v>
      </c>
      <c r="Y23" s="3"/>
      <c r="Z23" s="8">
        <f t="shared" si="7"/>
        <v>2.3292627770239698E-2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431.49</v>
      </c>
      <c r="E26" s="3"/>
      <c r="F26" s="8">
        <f t="shared" si="0"/>
        <v>0</v>
      </c>
      <c r="G26" s="3"/>
      <c r="H26" s="7">
        <v>185.4</v>
      </c>
      <c r="I26" s="3"/>
      <c r="J26" s="8">
        <f t="shared" si="1"/>
        <v>0</v>
      </c>
      <c r="K26" s="3"/>
      <c r="L26" s="7">
        <f t="shared" si="2"/>
        <v>246.09</v>
      </c>
      <c r="M26" s="3"/>
      <c r="N26" s="8">
        <f t="shared" si="3"/>
        <v>1.3273462783171521</v>
      </c>
      <c r="O26" s="12"/>
      <c r="P26" s="7">
        <v>3171.29</v>
      </c>
      <c r="Q26" s="3"/>
      <c r="R26" s="8">
        <f t="shared" si="4"/>
        <v>0</v>
      </c>
      <c r="S26" s="3"/>
      <c r="T26" s="7">
        <v>1631.52</v>
      </c>
      <c r="U26" s="3"/>
      <c r="V26" s="8">
        <f t="shared" si="5"/>
        <v>0</v>
      </c>
      <c r="W26" s="3"/>
      <c r="X26" s="7">
        <f t="shared" si="6"/>
        <v>1539.77</v>
      </c>
      <c r="Y26" s="3"/>
      <c r="Z26" s="8">
        <f t="shared" si="7"/>
        <v>0.94376409728351474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345.39</v>
      </c>
      <c r="E27" s="3"/>
      <c r="F27" s="8">
        <f t="shared" si="0"/>
        <v>0</v>
      </c>
      <c r="G27" s="3"/>
      <c r="H27" s="7">
        <v>219.6</v>
      </c>
      <c r="I27" s="3"/>
      <c r="J27" s="8">
        <f t="shared" si="1"/>
        <v>0</v>
      </c>
      <c r="K27" s="3"/>
      <c r="L27" s="7">
        <f t="shared" si="2"/>
        <v>125.78999999999999</v>
      </c>
      <c r="M27" s="3"/>
      <c r="N27" s="8">
        <f t="shared" si="3"/>
        <v>0.57281420765027324</v>
      </c>
      <c r="O27" s="12"/>
      <c r="P27" s="7">
        <v>2802.4</v>
      </c>
      <c r="Q27" s="3"/>
      <c r="R27" s="8">
        <f t="shared" si="4"/>
        <v>0</v>
      </c>
      <c r="S27" s="3"/>
      <c r="T27" s="7">
        <v>1932.48</v>
      </c>
      <c r="U27" s="3"/>
      <c r="V27" s="8">
        <f t="shared" si="5"/>
        <v>0</v>
      </c>
      <c r="W27" s="3"/>
      <c r="X27" s="7">
        <f t="shared" si="6"/>
        <v>869.92000000000007</v>
      </c>
      <c r="Y27" s="3"/>
      <c r="Z27" s="8">
        <f t="shared" si="7"/>
        <v>0.45015731081304855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207.61</v>
      </c>
      <c r="E28" s="3"/>
      <c r="F28" s="8">
        <f t="shared" si="0"/>
        <v>0</v>
      </c>
      <c r="G28" s="3"/>
      <c r="H28" s="7">
        <v>175</v>
      </c>
      <c r="I28" s="3"/>
      <c r="J28" s="8">
        <f t="shared" si="1"/>
        <v>0</v>
      </c>
      <c r="K28" s="3"/>
      <c r="L28" s="7">
        <f t="shared" si="2"/>
        <v>32.610000000000014</v>
      </c>
      <c r="M28" s="3"/>
      <c r="N28" s="8">
        <f t="shared" si="3"/>
        <v>0.18634285714285723</v>
      </c>
      <c r="O28" s="12"/>
      <c r="P28" s="7">
        <v>1641.47</v>
      </c>
      <c r="Q28" s="3"/>
      <c r="R28" s="8">
        <f t="shared" si="4"/>
        <v>0</v>
      </c>
      <c r="S28" s="3"/>
      <c r="T28" s="7">
        <v>1750</v>
      </c>
      <c r="U28" s="3"/>
      <c r="V28" s="8">
        <f t="shared" si="5"/>
        <v>0</v>
      </c>
      <c r="W28" s="3"/>
      <c r="X28" s="7">
        <f t="shared" si="6"/>
        <v>-108.52999999999997</v>
      </c>
      <c r="Y28" s="3"/>
      <c r="Z28" s="8">
        <f t="shared" si="7"/>
        <v>-6.201714285714284E-2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9243.369999999999</v>
      </c>
      <c r="E29" s="2"/>
      <c r="F29" s="6">
        <f t="shared" si="0"/>
        <v>0</v>
      </c>
      <c r="G29" s="2"/>
      <c r="H29" s="2">
        <f>SUM(OSRRefH22_1x_0)</f>
        <v>9194.6</v>
      </c>
      <c r="I29" s="2"/>
      <c r="J29" s="6">
        <f t="shared" si="1"/>
        <v>0</v>
      </c>
      <c r="K29" s="2"/>
      <c r="L29" s="2">
        <f t="shared" si="2"/>
        <v>48.769999999998618</v>
      </c>
      <c r="M29" s="2"/>
      <c r="N29" s="6">
        <f t="shared" si="3"/>
        <v>5.3042002914752808E-3</v>
      </c>
      <c r="O29" s="14"/>
      <c r="P29" s="2">
        <f>SUM(OSRRefP22_1x_0)</f>
        <v>69268.86</v>
      </c>
      <c r="Q29" s="2"/>
      <c r="R29" s="6">
        <f t="shared" si="4"/>
        <v>0</v>
      </c>
      <c r="S29" s="2"/>
      <c r="T29" s="2">
        <f>SUM(OSRRefT22_1x_0)</f>
        <v>80912.48000000001</v>
      </c>
      <c r="U29" s="2"/>
      <c r="V29" s="6">
        <f t="shared" si="5"/>
        <v>0</v>
      </c>
      <c r="W29" s="2"/>
      <c r="X29" s="2">
        <f t="shared" si="6"/>
        <v>-11643.62000000001</v>
      </c>
      <c r="Y29" s="2"/>
      <c r="Z29" s="6">
        <f t="shared" si="7"/>
        <v>-0.14390388231827783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/>
      <c r="E31" s="3"/>
      <c r="F31" s="8">
        <f t="shared" si="0"/>
        <v>0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0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>
        <v>6705.98</v>
      </c>
      <c r="E33" s="3"/>
      <c r="F33" s="8">
        <f t="shared" si="0"/>
        <v>0</v>
      </c>
      <c r="G33" s="3"/>
      <c r="H33" s="7">
        <v>5994.6</v>
      </c>
      <c r="I33" s="3"/>
      <c r="J33" s="8">
        <f t="shared" si="1"/>
        <v>0</v>
      </c>
      <c r="K33" s="3"/>
      <c r="L33" s="7">
        <f t="shared" si="2"/>
        <v>711.3799999999992</v>
      </c>
      <c r="M33" s="3"/>
      <c r="N33" s="8">
        <f t="shared" si="3"/>
        <v>0.11867013645614372</v>
      </c>
      <c r="O33" s="12"/>
      <c r="P33" s="7">
        <v>50192.86</v>
      </c>
      <c r="Q33" s="3"/>
      <c r="R33" s="8">
        <f t="shared" si="4"/>
        <v>0</v>
      </c>
      <c r="S33" s="3"/>
      <c r="T33" s="7">
        <v>52752.480000000003</v>
      </c>
      <c r="U33" s="3"/>
      <c r="V33" s="8">
        <f t="shared" si="5"/>
        <v>0</v>
      </c>
      <c r="W33" s="3"/>
      <c r="X33" s="7">
        <f t="shared" si="6"/>
        <v>-2559.6200000000026</v>
      </c>
      <c r="Y33" s="3"/>
      <c r="Z33" s="8">
        <f t="shared" si="7"/>
        <v>-4.8521320703784968E-2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>
        <v>4561.3900000000003</v>
      </c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4561.3900000000003</v>
      </c>
      <c r="M34" s="3"/>
      <c r="N34" s="8">
        <f t="shared" si="3"/>
        <v>0</v>
      </c>
      <c r="O34" s="12"/>
      <c r="P34" s="7">
        <v>7600.8</v>
      </c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7600.8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>
        <v>-2024</v>
      </c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-2024</v>
      </c>
      <c r="M36" s="3"/>
      <c r="N36" s="8">
        <f t="shared" si="3"/>
        <v>0</v>
      </c>
      <c r="O36" s="12"/>
      <c r="P36" s="7">
        <v>0</v>
      </c>
      <c r="Q36" s="3"/>
      <c r="R36" s="8">
        <f t="shared" si="4"/>
        <v>0</v>
      </c>
      <c r="S36" s="3"/>
      <c r="T36" s="7">
        <v>8320</v>
      </c>
      <c r="U36" s="3"/>
      <c r="V36" s="8">
        <f t="shared" si="5"/>
        <v>0</v>
      </c>
      <c r="W36" s="3"/>
      <c r="X36" s="7">
        <f t="shared" si="6"/>
        <v>-8320</v>
      </c>
      <c r="Y36" s="3"/>
      <c r="Z36" s="8">
        <f t="shared" si="7"/>
        <v>-1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3200</v>
      </c>
      <c r="I37" s="3"/>
      <c r="J37" s="8">
        <f t="shared" si="1"/>
        <v>0</v>
      </c>
      <c r="K37" s="3"/>
      <c r="L37" s="7">
        <f t="shared" si="2"/>
        <v>-3200</v>
      </c>
      <c r="M37" s="3"/>
      <c r="N37" s="8">
        <f t="shared" si="3"/>
        <v>-1</v>
      </c>
      <c r="O37" s="12"/>
      <c r="P37" s="7">
        <v>11475.2</v>
      </c>
      <c r="Q37" s="3"/>
      <c r="R37" s="8">
        <f t="shared" si="4"/>
        <v>0</v>
      </c>
      <c r="S37" s="3"/>
      <c r="T37" s="7">
        <v>19840</v>
      </c>
      <c r="U37" s="3"/>
      <c r="V37" s="8">
        <f t="shared" si="5"/>
        <v>0</v>
      </c>
      <c r="W37" s="3"/>
      <c r="X37" s="7">
        <f t="shared" si="6"/>
        <v>-8364.7999999999993</v>
      </c>
      <c r="Y37" s="3"/>
      <c r="Z37" s="8">
        <f t="shared" si="7"/>
        <v>-0.42161290322580641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173.21</v>
      </c>
      <c r="E40" s="2"/>
      <c r="F40" s="6">
        <f t="shared" si="0"/>
        <v>0</v>
      </c>
      <c r="G40" s="2"/>
      <c r="H40" s="2">
        <f>SUM(OSRRefH22_2x_0)</f>
        <v>417</v>
      </c>
      <c r="I40" s="2"/>
      <c r="J40" s="6">
        <f t="shared" si="1"/>
        <v>0</v>
      </c>
      <c r="K40" s="2"/>
      <c r="L40" s="2">
        <f t="shared" si="2"/>
        <v>-243.79</v>
      </c>
      <c r="M40" s="2"/>
      <c r="N40" s="6">
        <f t="shared" si="3"/>
        <v>-0.58462829736211031</v>
      </c>
      <c r="O40" s="14"/>
      <c r="P40" s="2">
        <f>SUM(OSRRefP22_2x_0)</f>
        <v>1792.33</v>
      </c>
      <c r="Q40" s="2"/>
      <c r="R40" s="6">
        <f t="shared" si="4"/>
        <v>0</v>
      </c>
      <c r="S40" s="2"/>
      <c r="T40" s="2">
        <f>SUM(OSRRefT22_2x_0)</f>
        <v>4170</v>
      </c>
      <c r="U40" s="2"/>
      <c r="V40" s="6">
        <f t="shared" si="5"/>
        <v>0</v>
      </c>
      <c r="W40" s="2"/>
      <c r="X40" s="2">
        <f t="shared" si="6"/>
        <v>-2377.67</v>
      </c>
      <c r="Y40" s="2"/>
      <c r="Z40" s="6">
        <f t="shared" si="7"/>
        <v>-0.5701846522781775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>
        <v>173.21</v>
      </c>
      <c r="E41" s="3"/>
      <c r="F41" s="8">
        <f t="shared" si="0"/>
        <v>0</v>
      </c>
      <c r="G41" s="3"/>
      <c r="H41" s="7">
        <v>417</v>
      </c>
      <c r="I41" s="3"/>
      <c r="J41" s="8">
        <f t="shared" si="1"/>
        <v>0</v>
      </c>
      <c r="K41" s="3"/>
      <c r="L41" s="7">
        <f t="shared" si="2"/>
        <v>-243.79</v>
      </c>
      <c r="M41" s="3"/>
      <c r="N41" s="8">
        <f t="shared" si="3"/>
        <v>-0.58462829736211031</v>
      </c>
      <c r="O41" s="12"/>
      <c r="P41" s="7">
        <v>1792.33</v>
      </c>
      <c r="Q41" s="3"/>
      <c r="R41" s="8">
        <f t="shared" si="4"/>
        <v>0</v>
      </c>
      <c r="S41" s="3"/>
      <c r="T41" s="7">
        <v>4170</v>
      </c>
      <c r="U41" s="3"/>
      <c r="V41" s="8">
        <f t="shared" si="5"/>
        <v>0</v>
      </c>
      <c r="W41" s="3"/>
      <c r="X41" s="7">
        <f t="shared" si="6"/>
        <v>-2377.67</v>
      </c>
      <c r="Y41" s="3"/>
      <c r="Z41" s="8">
        <f t="shared" si="7"/>
        <v>-0.5701846522781775</v>
      </c>
    </row>
    <row r="42" spans="1:26" s="69" customFormat="1" ht="15" customHeight="1" outlineLevel="1" collapsed="1" x14ac:dyDescent="0.3">
      <c r="A42" s="25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0</v>
      </c>
      <c r="Q42" s="2"/>
      <c r="R42" s="6">
        <f t="shared" si="4"/>
        <v>0</v>
      </c>
      <c r="S42" s="2"/>
      <c r="T42" s="2">
        <f>SUM(OSRRefT22_3x_0)</f>
        <v>500</v>
      </c>
      <c r="U42" s="2"/>
      <c r="V42" s="6">
        <f t="shared" si="5"/>
        <v>0</v>
      </c>
      <c r="W42" s="2"/>
      <c r="X42" s="2">
        <f t="shared" si="6"/>
        <v>-500</v>
      </c>
      <c r="Y42" s="2"/>
      <c r="Z42" s="6">
        <f t="shared" si="7"/>
        <v>-1</v>
      </c>
    </row>
    <row r="43" spans="1:26" s="70" customFormat="1" ht="15" hidden="1" customHeight="1" outlineLevel="2" x14ac:dyDescent="0.3">
      <c r="A43" s="26"/>
      <c r="B43" s="12" t="str">
        <f>CONCATENATE("          ","6277"," - ","EMPLOYEE APPRECIATION")</f>
        <v xml:space="preserve">          6277 - EMPLOYEE APPRECIATION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500</v>
      </c>
      <c r="U43" s="3"/>
      <c r="V43" s="8">
        <f t="shared" si="5"/>
        <v>0</v>
      </c>
      <c r="W43" s="3"/>
      <c r="X43" s="7">
        <f t="shared" si="6"/>
        <v>-500</v>
      </c>
      <c r="Y43" s="3"/>
      <c r="Z43" s="8">
        <f t="shared" si="7"/>
        <v>-1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1600</v>
      </c>
      <c r="I44" s="2"/>
      <c r="J44" s="6">
        <f t="shared" si="1"/>
        <v>0</v>
      </c>
      <c r="K44" s="2"/>
      <c r="L44" s="2">
        <f t="shared" si="2"/>
        <v>-1600</v>
      </c>
      <c r="M44" s="2"/>
      <c r="N44" s="6">
        <f t="shared" si="3"/>
        <v>-1</v>
      </c>
      <c r="O44" s="14"/>
      <c r="P44" s="2">
        <f>SUM(OSRRefP22_4x_0)</f>
        <v>63.36</v>
      </c>
      <c r="Q44" s="2"/>
      <c r="R44" s="6">
        <f t="shared" si="4"/>
        <v>0</v>
      </c>
      <c r="S44" s="2"/>
      <c r="T44" s="2">
        <f>SUM(OSRRefT22_4x_0)</f>
        <v>16000</v>
      </c>
      <c r="U44" s="2"/>
      <c r="V44" s="6">
        <f t="shared" si="5"/>
        <v>0</v>
      </c>
      <c r="W44" s="2"/>
      <c r="X44" s="2">
        <f t="shared" si="6"/>
        <v>-15936.64</v>
      </c>
      <c r="Y44" s="2"/>
      <c r="Z44" s="6">
        <f t="shared" si="7"/>
        <v>-0.99603999999999993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7"/>
      <c r="E45" s="3"/>
      <c r="F45" s="8">
        <f t="shared" si="0"/>
        <v>0</v>
      </c>
      <c r="G45" s="3"/>
      <c r="H45" s="7">
        <v>1600</v>
      </c>
      <c r="I45" s="3"/>
      <c r="J45" s="8">
        <f t="shared" si="1"/>
        <v>0</v>
      </c>
      <c r="K45" s="3"/>
      <c r="L45" s="7">
        <f t="shared" si="2"/>
        <v>-1600</v>
      </c>
      <c r="M45" s="3"/>
      <c r="N45" s="8">
        <f t="shared" si="3"/>
        <v>-1</v>
      </c>
      <c r="O45" s="12"/>
      <c r="P45" s="7"/>
      <c r="Q45" s="3"/>
      <c r="R45" s="8">
        <f t="shared" si="4"/>
        <v>0</v>
      </c>
      <c r="S45" s="3"/>
      <c r="T45" s="7">
        <v>16000</v>
      </c>
      <c r="U45" s="3"/>
      <c r="V45" s="8">
        <f t="shared" si="5"/>
        <v>0</v>
      </c>
      <c r="W45" s="3"/>
      <c r="X45" s="7">
        <f t="shared" si="6"/>
        <v>-16000</v>
      </c>
      <c r="Y45" s="3"/>
      <c r="Z45" s="8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63.36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63.36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","Supplies                                          ")</f>
        <v xml:space="preserve">     Supplies                                          </v>
      </c>
      <c r="C47" s="14"/>
      <c r="D47" s="2">
        <f>SUM(OSRRefD22_5x_0)</f>
        <v>0</v>
      </c>
      <c r="E47" s="2"/>
      <c r="F47" s="6">
        <f t="shared" si="0"/>
        <v>0</v>
      </c>
      <c r="G47" s="2"/>
      <c r="H47" s="2">
        <f>SUM(OSRRefH22_5x_0)</f>
        <v>600</v>
      </c>
      <c r="I47" s="2"/>
      <c r="J47" s="6">
        <f t="shared" si="1"/>
        <v>0</v>
      </c>
      <c r="K47" s="2"/>
      <c r="L47" s="2">
        <f t="shared" si="2"/>
        <v>-600</v>
      </c>
      <c r="M47" s="2"/>
      <c r="N47" s="6">
        <f t="shared" si="3"/>
        <v>-1</v>
      </c>
      <c r="O47" s="14"/>
      <c r="P47" s="2">
        <f>SUM(OSRRefP22_5x_0)</f>
        <v>70.040000000000006</v>
      </c>
      <c r="Q47" s="2"/>
      <c r="R47" s="6">
        <f t="shared" si="4"/>
        <v>0</v>
      </c>
      <c r="S47" s="2"/>
      <c r="T47" s="2">
        <f>SUM(OSRRefT22_5x_0)</f>
        <v>6000</v>
      </c>
      <c r="U47" s="2"/>
      <c r="V47" s="6">
        <f t="shared" si="5"/>
        <v>0</v>
      </c>
      <c r="W47" s="2"/>
      <c r="X47" s="2">
        <f t="shared" si="6"/>
        <v>-5929.96</v>
      </c>
      <c r="Y47" s="2"/>
      <c r="Z47" s="6">
        <f t="shared" si="7"/>
        <v>-0.98832666666666669</v>
      </c>
    </row>
    <row r="48" spans="1:26" s="70" customFormat="1" ht="15" hidden="1" customHeight="1" outlineLevel="2" x14ac:dyDescent="0.3">
      <c r="A48" s="26"/>
      <c r="B48" s="12" t="str">
        <f>CONCATENATE("          ","6241"," - ","OFFICE EXPENSE")</f>
        <v xml:space="preserve">          6241 - OFFICE EXPENSE</v>
      </c>
      <c r="C48" s="12"/>
      <c r="D48" s="7"/>
      <c r="E48" s="3"/>
      <c r="F48" s="8">
        <f t="shared" si="0"/>
        <v>0</v>
      </c>
      <c r="G48" s="3"/>
      <c r="H48" s="7">
        <v>600</v>
      </c>
      <c r="I48" s="3"/>
      <c r="J48" s="8">
        <f t="shared" si="1"/>
        <v>0</v>
      </c>
      <c r="K48" s="3"/>
      <c r="L48" s="7">
        <f t="shared" si="2"/>
        <v>-600</v>
      </c>
      <c r="M48" s="3"/>
      <c r="N48" s="8">
        <f t="shared" si="3"/>
        <v>-1</v>
      </c>
      <c r="O48" s="12"/>
      <c r="P48" s="7">
        <v>70.040000000000006</v>
      </c>
      <c r="Q48" s="3"/>
      <c r="R48" s="8">
        <f t="shared" si="4"/>
        <v>0</v>
      </c>
      <c r="S48" s="3"/>
      <c r="T48" s="7">
        <v>6000</v>
      </c>
      <c r="U48" s="3"/>
      <c r="V48" s="8">
        <f t="shared" si="5"/>
        <v>0</v>
      </c>
      <c r="W48" s="3"/>
      <c r="X48" s="7">
        <f t="shared" si="6"/>
        <v>-5929.96</v>
      </c>
      <c r="Y48" s="3"/>
      <c r="Z48" s="8">
        <f t="shared" si="7"/>
        <v>-0.98832666666666669</v>
      </c>
    </row>
    <row r="49" spans="1:26" s="69" customFormat="1" ht="15" customHeight="1" outlineLevel="1" collapsed="1" x14ac:dyDescent="0.3">
      <c r="A49" s="25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36</v>
      </c>
      <c r="E49" s="2"/>
      <c r="F49" s="6">
        <f t="shared" si="0"/>
        <v>0</v>
      </c>
      <c r="G49" s="2"/>
      <c r="H49" s="2">
        <f>SUM(OSRRefH22_6x_0)</f>
        <v>72</v>
      </c>
      <c r="I49" s="2"/>
      <c r="J49" s="6">
        <f t="shared" si="1"/>
        <v>0</v>
      </c>
      <c r="K49" s="2"/>
      <c r="L49" s="2">
        <f t="shared" si="2"/>
        <v>-36</v>
      </c>
      <c r="M49" s="2"/>
      <c r="N49" s="6">
        <f t="shared" si="3"/>
        <v>-0.5</v>
      </c>
      <c r="O49" s="14"/>
      <c r="P49" s="2">
        <f>SUM(OSRRefP22_6x_0)</f>
        <v>432.4</v>
      </c>
      <c r="Q49" s="2"/>
      <c r="R49" s="6">
        <f t="shared" si="4"/>
        <v>0</v>
      </c>
      <c r="S49" s="2"/>
      <c r="T49" s="2">
        <f>SUM(OSRRefT22_6x_0)</f>
        <v>720</v>
      </c>
      <c r="U49" s="2"/>
      <c r="V49" s="6">
        <f t="shared" si="5"/>
        <v>0</v>
      </c>
      <c r="W49" s="2"/>
      <c r="X49" s="2">
        <f t="shared" si="6"/>
        <v>-287.60000000000002</v>
      </c>
      <c r="Y49" s="2"/>
      <c r="Z49" s="6">
        <f t="shared" si="7"/>
        <v>-0.39944444444444449</v>
      </c>
    </row>
    <row r="50" spans="1:26" s="70" customFormat="1" ht="15" hidden="1" customHeight="1" outlineLevel="2" x14ac:dyDescent="0.3">
      <c r="A50" s="26"/>
      <c r="B50" s="12" t="str">
        <f>CONCATENATE("          ","6303"," - ","DATA PHONE LINES")</f>
        <v xml:space="preserve">          6303 - DATA PHONE LINES</v>
      </c>
      <c r="C50" s="12"/>
      <c r="D50" s="7"/>
      <c r="E50" s="3"/>
      <c r="F50" s="8">
        <f t="shared" si="0"/>
        <v>0</v>
      </c>
      <c r="G50" s="3"/>
      <c r="H50" s="7">
        <v>36</v>
      </c>
      <c r="I50" s="3"/>
      <c r="J50" s="8">
        <f t="shared" si="1"/>
        <v>0</v>
      </c>
      <c r="K50" s="3"/>
      <c r="L50" s="7">
        <f t="shared" si="2"/>
        <v>-36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360</v>
      </c>
      <c r="U50" s="3"/>
      <c r="V50" s="8">
        <f t="shared" si="5"/>
        <v>0</v>
      </c>
      <c r="W50" s="3"/>
      <c r="X50" s="7">
        <f t="shared" si="6"/>
        <v>-360</v>
      </c>
      <c r="Y50" s="3"/>
      <c r="Z50" s="8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","6309"," - ","TELEPHONE")</f>
        <v xml:space="preserve">          6309 - TELEPHONE</v>
      </c>
      <c r="C51" s="12"/>
      <c r="D51" s="7">
        <v>36</v>
      </c>
      <c r="E51" s="3"/>
      <c r="F51" s="8">
        <f t="shared" si="0"/>
        <v>0</v>
      </c>
      <c r="G51" s="3"/>
      <c r="H51" s="7">
        <v>36</v>
      </c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432.4</v>
      </c>
      <c r="Q51" s="3"/>
      <c r="R51" s="8">
        <f t="shared" si="4"/>
        <v>0</v>
      </c>
      <c r="S51" s="3"/>
      <c r="T51" s="7">
        <v>360</v>
      </c>
      <c r="U51" s="3"/>
      <c r="V51" s="8">
        <f t="shared" si="5"/>
        <v>0</v>
      </c>
      <c r="W51" s="3"/>
      <c r="X51" s="7">
        <f t="shared" si="6"/>
        <v>72.399999999999977</v>
      </c>
      <c r="Y51" s="3"/>
      <c r="Z51" s="8">
        <f t="shared" si="7"/>
        <v>0.20111111111111105</v>
      </c>
    </row>
    <row r="52" spans="1:26" s="69" customFormat="1" ht="15" customHeight="1" outlineLevel="1" collapsed="1" x14ac:dyDescent="0.3">
      <c r="A52" s="25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0</v>
      </c>
      <c r="E52" s="2"/>
      <c r="F52" s="6">
        <f t="shared" si="0"/>
        <v>0</v>
      </c>
      <c r="G52" s="2"/>
      <c r="H52" s="2">
        <f>SUM(OSRRefH22_7x_0)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SUM(OSRRefP22_7x_0)</f>
        <v>0</v>
      </c>
      <c r="Q52" s="2"/>
      <c r="R52" s="6">
        <f t="shared" si="4"/>
        <v>0</v>
      </c>
      <c r="S52" s="2"/>
      <c r="T52" s="2">
        <f>SUM(OSRRefT22_7x_0)</f>
        <v>1000</v>
      </c>
      <c r="U52" s="2"/>
      <c r="V52" s="6">
        <f t="shared" si="5"/>
        <v>0</v>
      </c>
      <c r="W52" s="2"/>
      <c r="X52" s="2">
        <f t="shared" si="6"/>
        <v>-1000</v>
      </c>
      <c r="Y52" s="2"/>
      <c r="Z52" s="6">
        <f t="shared" si="7"/>
        <v>-1</v>
      </c>
    </row>
    <row r="53" spans="1:26" s="70" customFormat="1" ht="15" hidden="1" customHeight="1" outlineLevel="2" x14ac:dyDescent="0.3">
      <c r="A53" s="26"/>
      <c r="B53" s="12" t="str">
        <f>CONCATENATE("          ","6376"," - ","TRAINING")</f>
        <v xml:space="preserve">          6376 - TRAINING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/>
      <c r="Q53" s="3"/>
      <c r="R53" s="8">
        <f t="shared" si="4"/>
        <v>0</v>
      </c>
      <c r="S53" s="3"/>
      <c r="T53" s="7">
        <v>1000</v>
      </c>
      <c r="U53" s="3"/>
      <c r="V53" s="8">
        <f t="shared" si="5"/>
        <v>0</v>
      </c>
      <c r="W53" s="3"/>
      <c r="X53" s="7">
        <f t="shared" si="6"/>
        <v>-1000</v>
      </c>
      <c r="Y53" s="3"/>
      <c r="Z53" s="8">
        <f t="shared" si="7"/>
        <v>-1</v>
      </c>
    </row>
    <row r="54" spans="1:26" s="65" customFormat="1" ht="15" customHeight="1" x14ac:dyDescent="0.3">
      <c r="A54" s="35"/>
      <c r="B54" s="35"/>
      <c r="C54" s="35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35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63" customFormat="1" ht="15" customHeight="1" x14ac:dyDescent="0.3">
      <c r="A55" s="11"/>
      <c r="B55" s="28" t="s">
        <v>291</v>
      </c>
      <c r="C55" s="11"/>
      <c r="D55" s="5">
        <f>SUM(0)</f>
        <v>0</v>
      </c>
      <c r="E55" s="5"/>
      <c r="F55" s="13">
        <f>IF(D$12=0,0,D55/D$12)</f>
        <v>0</v>
      </c>
      <c r="G55" s="5"/>
      <c r="H55" s="5">
        <f>SUM(0)</f>
        <v>0</v>
      </c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>
        <f>SUM(0)</f>
        <v>0</v>
      </c>
      <c r="Q55" s="5"/>
      <c r="R55" s="13">
        <f>IF(P$12=0,0,P55/P$12)</f>
        <v>0</v>
      </c>
      <c r="S55" s="5"/>
      <c r="T55" s="5">
        <f>SUM(0)</f>
        <v>0</v>
      </c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3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3">
      <c r="A57" s="11"/>
      <c r="B57" s="27" t="s">
        <v>292</v>
      </c>
      <c r="C57" s="27"/>
      <c r="D57" s="21">
        <f>+D16-D18+D55</f>
        <v>-11543.349999999999</v>
      </c>
      <c r="E57" s="15"/>
      <c r="F57" s="23">
        <f>IF(D$12=0,0,D57/D$12)</f>
        <v>0</v>
      </c>
      <c r="G57" s="15"/>
      <c r="H57" s="21">
        <f>+H16-H18+H55</f>
        <v>-14579.94678461538</v>
      </c>
      <c r="I57" s="15"/>
      <c r="J57" s="23">
        <f>IF(H$12=0,0,H57/H$12)</f>
        <v>0</v>
      </c>
      <c r="K57" s="17"/>
      <c r="L57" s="21">
        <f>+D57-H57</f>
        <v>3036.5967846153817</v>
      </c>
      <c r="M57" s="17"/>
      <c r="N57" s="23">
        <f>IF(H57=0,0,L57/H57)</f>
        <v>-0.2082721445745995</v>
      </c>
      <c r="O57" s="28"/>
      <c r="P57" s="21">
        <f>+P16-P18+P55</f>
        <v>-89610.909999999989</v>
      </c>
      <c r="Q57" s="15"/>
      <c r="R57" s="23">
        <f>IF(P$12=0,0,P57/P$12)</f>
        <v>0</v>
      </c>
      <c r="S57" s="15"/>
      <c r="T57" s="21">
        <f>+T16-T18+T55</f>
        <v>-133877.0613046154</v>
      </c>
      <c r="U57" s="15"/>
      <c r="V57" s="23">
        <f>IF(T$12=0,0,T57/T$12)</f>
        <v>0</v>
      </c>
      <c r="W57" s="17"/>
      <c r="X57" s="21">
        <f>+P57-T57</f>
        <v>44266.151304615414</v>
      </c>
      <c r="Y57" s="17"/>
      <c r="Z57" s="23">
        <f>IF(T57=0,0,X57/T57)</f>
        <v>-0.33064776648999644</v>
      </c>
    </row>
    <row r="58" spans="1:26" ht="15" customHeight="1" x14ac:dyDescent="0.3">
      <c r="A58" s="10"/>
      <c r="B58" s="11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49"/>
      <c r="B59" s="11" t="s">
        <v>293</v>
      </c>
      <c r="C59" s="11"/>
      <c r="D59" s="5"/>
      <c r="E59" s="5"/>
      <c r="F59" s="13">
        <f>IF(D$12=0,0,D59/D$12)</f>
        <v>0</v>
      </c>
      <c r="G59" s="5"/>
      <c r="H59" s="5"/>
      <c r="I59" s="5"/>
      <c r="J59" s="13">
        <f>IF(H$12=0,0,H59/H$12)</f>
        <v>0</v>
      </c>
      <c r="K59" s="5"/>
      <c r="L59" s="5">
        <f>+D59-H59</f>
        <v>0</v>
      </c>
      <c r="M59" s="5"/>
      <c r="N59" s="13">
        <f>IF(H59=0,0,L59/H59)</f>
        <v>0</v>
      </c>
      <c r="O59" s="11"/>
      <c r="P59" s="5"/>
      <c r="Q59" s="5"/>
      <c r="R59" s="13">
        <f>IF(P$12=0,0,P59/P$12)</f>
        <v>0</v>
      </c>
      <c r="S59" s="5"/>
      <c r="T59" s="5"/>
      <c r="U59" s="5"/>
      <c r="V59" s="13">
        <f>IF(T$12=0,0,T59/T$12)</f>
        <v>0</v>
      </c>
      <c r="W59" s="5"/>
      <c r="X59" s="5">
        <f>+P59-T59</f>
        <v>0</v>
      </c>
      <c r="Y59" s="5"/>
      <c r="Z59" s="13">
        <f>IF(T59=0,0,X59/T59)</f>
        <v>0</v>
      </c>
    </row>
    <row r="60" spans="1:26" ht="15" customHeight="1" x14ac:dyDescent="0.3">
      <c r="A60" s="10"/>
      <c r="B60" s="11"/>
      <c r="C60" s="11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O60" s="11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11"/>
      <c r="B61" s="27" t="s">
        <v>294</v>
      </c>
      <c r="C61" s="27"/>
      <c r="D61" s="29">
        <f>+D57-D59</f>
        <v>-11543.349999999999</v>
      </c>
      <c r="E61" s="15"/>
      <c r="F61" s="30">
        <f>IF(D$12=0,0,D61/D$12)</f>
        <v>0</v>
      </c>
      <c r="G61" s="15"/>
      <c r="H61" s="29">
        <f>+H57-H59</f>
        <v>-14579.94678461538</v>
      </c>
      <c r="I61" s="15"/>
      <c r="J61" s="30">
        <f>IF(H$12=0,0,H61/H$12)</f>
        <v>0</v>
      </c>
      <c r="K61" s="17"/>
      <c r="L61" s="29">
        <f>D61-H61</f>
        <v>3036.5967846153817</v>
      </c>
      <c r="M61" s="17"/>
      <c r="N61" s="30">
        <f>IF(H61=0,0,L61/H61)</f>
        <v>-0.2082721445745995</v>
      </c>
      <c r="O61" s="28"/>
      <c r="P61" s="29">
        <f>+P57-P59</f>
        <v>-89610.909999999989</v>
      </c>
      <c r="Q61" s="15"/>
      <c r="R61" s="30">
        <f>IF(P$12=0,0,P61/P$12)</f>
        <v>0</v>
      </c>
      <c r="S61" s="15"/>
      <c r="T61" s="29">
        <f>+T57-T59</f>
        <v>-133877.0613046154</v>
      </c>
      <c r="U61" s="15"/>
      <c r="V61" s="30">
        <f>IF(T$12=0,0,T61/T$12)</f>
        <v>0</v>
      </c>
      <c r="W61" s="17"/>
      <c r="X61" s="29">
        <f>P61-T61</f>
        <v>44266.151304615414</v>
      </c>
      <c r="Y61" s="17"/>
      <c r="Z61" s="30">
        <f>IF(T61=0,0,X61/T61)</f>
        <v>-0.33064776648999644</v>
      </c>
    </row>
    <row r="62" spans="1:26" ht="15" customHeight="1" x14ac:dyDescent="0.3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ht="15" customHeight="1" x14ac:dyDescent="0.3">
      <c r="A63" s="10"/>
      <c r="B63" s="10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3">
      <c r="A64" s="11"/>
      <c r="B64" s="27" t="s">
        <v>297</v>
      </c>
      <c r="C64" s="27"/>
      <c r="D64" s="32">
        <f>SUM(D61:D63)</f>
        <v>-11543.349999999999</v>
      </c>
      <c r="E64" s="15"/>
      <c r="F64" s="34">
        <f>IF(D$12=0,0,D64/D$12)</f>
        <v>0</v>
      </c>
      <c r="G64" s="15"/>
      <c r="H64" s="32">
        <f>SUM(H61:H63)</f>
        <v>-14579.94678461538</v>
      </c>
      <c r="I64" s="15"/>
      <c r="J64" s="34">
        <f>IF(H$12=0,0,H64/H$12)</f>
        <v>0</v>
      </c>
      <c r="K64" s="17"/>
      <c r="L64" s="32">
        <f>+D64-H64</f>
        <v>3036.5967846153817</v>
      </c>
      <c r="M64" s="17"/>
      <c r="N64" s="34">
        <f>IF(H64=0,0,L64/H64)</f>
        <v>-0.2082721445745995</v>
      </c>
      <c r="O64" s="28"/>
      <c r="P64" s="32">
        <f>SUM(P61:P63)</f>
        <v>-89610.909999999989</v>
      </c>
      <c r="Q64" s="15"/>
      <c r="R64" s="34">
        <f>IF(P$12=0,0,P64/P$12)</f>
        <v>0</v>
      </c>
      <c r="S64" s="15"/>
      <c r="T64" s="32">
        <f>SUM(T61:T63)</f>
        <v>-133877.0613046154</v>
      </c>
      <c r="U64" s="15"/>
      <c r="V64" s="34">
        <f>IF(T$12=0,0,T64/T$12)</f>
        <v>0</v>
      </c>
      <c r="W64" s="17"/>
      <c r="X64" s="32">
        <f>+P64-T64</f>
        <v>44266.151304615414</v>
      </c>
      <c r="Y64" s="17"/>
      <c r="Z64" s="34">
        <f>IF(T64=0,0,X64/T64)</f>
        <v>-0.33064776648999644</v>
      </c>
    </row>
    <row r="65" spans="1:24" ht="15" customHeight="1" x14ac:dyDescent="0.3">
      <c r="A65" s="10"/>
      <c r="C65" s="10"/>
      <c r="D65" s="19"/>
      <c r="E65" s="19"/>
      <c r="G65" s="19"/>
      <c r="H65" s="19"/>
      <c r="I65" s="19"/>
      <c r="J65" s="40"/>
      <c r="K65" s="19"/>
      <c r="L65" s="19"/>
      <c r="M65" s="19"/>
      <c r="P65" s="19"/>
      <c r="Q65" s="19"/>
      <c r="R65" s="40"/>
      <c r="S65" s="19"/>
      <c r="T65" s="19"/>
      <c r="U65" s="19"/>
      <c r="V65" s="40"/>
      <c r="W65" s="19"/>
      <c r="X65" s="19"/>
    </row>
    <row r="66" spans="1:24" ht="15" customHeight="1" x14ac:dyDescent="0.3">
      <c r="A66" s="10"/>
      <c r="B66" s="56">
        <v>44694.888552430559</v>
      </c>
      <c r="D66" s="19"/>
      <c r="E66" s="19"/>
      <c r="G66" s="19"/>
      <c r="H66" s="19"/>
      <c r="I66" s="19"/>
      <c r="J66" s="40"/>
      <c r="K66" s="19"/>
      <c r="L66" s="19"/>
      <c r="M66" s="19"/>
      <c r="P66" s="19"/>
      <c r="Q66" s="19"/>
      <c r="R66" s="40"/>
      <c r="S66" s="19"/>
      <c r="T66" s="19"/>
      <c r="U66" s="19"/>
      <c r="V66" s="40"/>
      <c r="W66" s="19"/>
      <c r="X66" s="19"/>
    </row>
    <row r="67" spans="1:24" ht="15" customHeight="1" x14ac:dyDescent="0.3">
      <c r="A67" s="10"/>
      <c r="B67" s="50" t="s">
        <v>298</v>
      </c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4" ht="15" customHeight="1" x14ac:dyDescent="0.3">
      <c r="A68" s="10"/>
      <c r="B68" s="51"/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4" ht="15" customHeight="1" x14ac:dyDescent="0.3"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BFAEB-B5BD-DD02-4E77-5E1AC97DAFF6}">
  <sheetPr>
    <tabColor rgb="FFFFC000"/>
    <outlinePr summaryBelow="0" summaryRight="0"/>
  </sheetPr>
  <dimension ref="A2:Z17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301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976935.3</v>
      </c>
      <c r="E12" s="5"/>
      <c r="F12" s="13"/>
      <c r="G12" s="5"/>
      <c r="H12" s="5">
        <f>SUM(OSRRefH13x_0)</f>
        <v>437221</v>
      </c>
      <c r="I12" s="5"/>
      <c r="J12" s="13"/>
      <c r="K12" s="5"/>
      <c r="L12" s="5">
        <f t="shared" ref="L12:L23" si="0">+D12-H12</f>
        <v>539714.30000000005</v>
      </c>
      <c r="M12" s="5"/>
      <c r="N12" s="13">
        <f t="shared" ref="N12:N23" si="1">IF(H12=0,0,L12/H12)</f>
        <v>1.2344198929145673</v>
      </c>
      <c r="O12" s="11"/>
      <c r="P12" s="5">
        <f>SUM(OSRRefP13x_0)</f>
        <v>7073208.3999999994</v>
      </c>
      <c r="Q12" s="5"/>
      <c r="R12" s="13"/>
      <c r="S12" s="5"/>
      <c r="T12" s="5">
        <f>SUM(OSRRefT13x_0)</f>
        <v>8671637</v>
      </c>
      <c r="U12" s="5"/>
      <c r="V12" s="13"/>
      <c r="W12" s="5"/>
      <c r="X12" s="5">
        <f t="shared" ref="X12:X23" si="2">+P12-T12</f>
        <v>-1598428.6000000006</v>
      </c>
      <c r="Y12" s="5"/>
      <c r="Z12" s="13">
        <f t="shared" ref="Z12:Z23" si="3">IF(T12=0,0,X12/T12)</f>
        <v>-0.18432835691807678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--773594.3</f>
        <v>773594.3</v>
      </c>
      <c r="E13" s="3"/>
      <c r="F13" s="20"/>
      <c r="G13" s="3"/>
      <c r="H13" s="3">
        <v>322118</v>
      </c>
      <c r="I13" s="3"/>
      <c r="J13" s="20"/>
      <c r="K13" s="3"/>
      <c r="L13" s="3">
        <f t="shared" si="0"/>
        <v>451476.30000000005</v>
      </c>
      <c r="M13" s="3"/>
      <c r="N13" s="20">
        <f t="shared" si="1"/>
        <v>1.4015866856245229</v>
      </c>
      <c r="O13" s="12"/>
      <c r="P13" s="3">
        <f>--5783240.56</f>
        <v>5783240.5599999996</v>
      </c>
      <c r="Q13" s="3"/>
      <c r="R13" s="20"/>
      <c r="S13" s="3"/>
      <c r="T13" s="3">
        <v>7960798</v>
      </c>
      <c r="U13" s="3"/>
      <c r="V13" s="20"/>
      <c r="W13" s="3"/>
      <c r="X13" s="3">
        <f t="shared" si="2"/>
        <v>-2177557.4400000004</v>
      </c>
      <c r="Y13" s="3"/>
      <c r="Z13" s="20">
        <f t="shared" si="3"/>
        <v>-0.27353507022788426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--439.9</f>
        <v>439.9</v>
      </c>
      <c r="E15" s="3"/>
      <c r="F15" s="20"/>
      <c r="G15" s="3"/>
      <c r="H15" s="3"/>
      <c r="I15" s="3"/>
      <c r="J15" s="20"/>
      <c r="K15" s="3"/>
      <c r="L15" s="3">
        <f t="shared" si="0"/>
        <v>439.9</v>
      </c>
      <c r="M15" s="3"/>
      <c r="N15" s="20">
        <f t="shared" si="1"/>
        <v>0</v>
      </c>
      <c r="O15" s="12"/>
      <c r="P15" s="3">
        <f>--1551.31</f>
        <v>1551.31</v>
      </c>
      <c r="Q15" s="3"/>
      <c r="R15" s="20"/>
      <c r="S15" s="3"/>
      <c r="T15" s="3"/>
      <c r="U15" s="3"/>
      <c r="V15" s="20"/>
      <c r="W15" s="3"/>
      <c r="X15" s="3">
        <f t="shared" si="2"/>
        <v>1551.31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--247720.17</f>
        <v>247720.17</v>
      </c>
      <c r="E16" s="3"/>
      <c r="F16" s="20"/>
      <c r="G16" s="3"/>
      <c r="H16" s="3">
        <v>115103</v>
      </c>
      <c r="I16" s="3"/>
      <c r="J16" s="20"/>
      <c r="K16" s="3"/>
      <c r="L16" s="3">
        <f t="shared" si="0"/>
        <v>132617.17000000001</v>
      </c>
      <c r="M16" s="3"/>
      <c r="N16" s="20">
        <f t="shared" si="1"/>
        <v>1.1521608472411666</v>
      </c>
      <c r="O16" s="12"/>
      <c r="P16" s="3">
        <f>--1607566.46</f>
        <v>1607566.46</v>
      </c>
      <c r="Q16" s="3"/>
      <c r="R16" s="20"/>
      <c r="S16" s="3"/>
      <c r="T16" s="3">
        <v>710839</v>
      </c>
      <c r="U16" s="3"/>
      <c r="V16" s="20"/>
      <c r="W16" s="3"/>
      <c r="X16" s="3">
        <f t="shared" si="2"/>
        <v>896727.46</v>
      </c>
      <c r="Y16" s="3"/>
      <c r="Z16" s="20">
        <f t="shared" si="3"/>
        <v>1.2615057136707468</v>
      </c>
    </row>
    <row r="17" spans="1:26" s="70" customFormat="1" ht="15" hidden="1" customHeight="1" outlineLevel="1" x14ac:dyDescent="0.3">
      <c r="A17" s="42"/>
      <c r="B17" s="12" t="str">
        <f>CONCATENATE("          ","4141"," - ","NON-TAXABLE SALES-LOGO GIFTS")</f>
        <v xml:space="preserve">          4141 - NON-TAXABLE SALES-LOGO GIFTS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/>
      <c r="U17" s="3"/>
      <c r="V17" s="20"/>
      <c r="W17" s="3"/>
      <c r="X17" s="3">
        <f t="shared" si="2"/>
        <v>0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","4146"," - ","NON-TAXABLE SALES-COIN OP MACH")</f>
        <v xml:space="preserve">          4146 - NON-TAXABLE SALES-COIN OP MACH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","4151"," - ","NON-TAXABLE SALES-FOOD")</f>
        <v xml:space="preserve">          4151 - NON-TAXABLE SALES-FOOD</v>
      </c>
      <c r="C19" s="12"/>
      <c r="D19" s="3">
        <f>0</f>
        <v>0</v>
      </c>
      <c r="E19" s="3"/>
      <c r="F19" s="20"/>
      <c r="G19" s="3"/>
      <c r="H19" s="3"/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--206.32</f>
        <v>206.32</v>
      </c>
      <c r="Q19" s="3"/>
      <c r="R19" s="20"/>
      <c r="S19" s="3"/>
      <c r="T19" s="3"/>
      <c r="U19" s="3"/>
      <c r="V19" s="20"/>
      <c r="W19" s="3"/>
      <c r="X19" s="3">
        <f t="shared" si="2"/>
        <v>206.32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0</f>
        <v>0</v>
      </c>
      <c r="E20" s="3"/>
      <c r="F20" s="20"/>
      <c r="G20" s="3"/>
      <c r="H20" s="3"/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/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70" customFormat="1" ht="15" hidden="1" customHeight="1" outlineLevel="1" x14ac:dyDescent="0.3">
      <c r="A21" s="42"/>
      <c r="B21" s="12" t="str">
        <f>CONCATENATE("          ","4200"," - ","TAXABLE RETURNS")</f>
        <v xml:space="preserve">          4200 - TAXABLE RETURNS</v>
      </c>
      <c r="C21" s="12"/>
      <c r="D21" s="3">
        <f>-20142.65</f>
        <v>-20142.650000000001</v>
      </c>
      <c r="E21" s="3"/>
      <c r="F21" s="20"/>
      <c r="G21" s="3"/>
      <c r="H21" s="3"/>
      <c r="I21" s="3"/>
      <c r="J21" s="20"/>
      <c r="K21" s="3"/>
      <c r="L21" s="3">
        <f t="shared" si="0"/>
        <v>-20142.650000000001</v>
      </c>
      <c r="M21" s="3"/>
      <c r="N21" s="20">
        <f t="shared" si="1"/>
        <v>0</v>
      </c>
      <c r="O21" s="12"/>
      <c r="P21" s="3">
        <f>-171550.66</f>
        <v>-171550.66</v>
      </c>
      <c r="Q21" s="3"/>
      <c r="R21" s="20"/>
      <c r="S21" s="3"/>
      <c r="T21" s="3"/>
      <c r="U21" s="3"/>
      <c r="V21" s="20"/>
      <c r="W21" s="3"/>
      <c r="X21" s="3">
        <f t="shared" si="2"/>
        <v>-171550.66</v>
      </c>
      <c r="Y21" s="3"/>
      <c r="Z21" s="20">
        <f t="shared" si="3"/>
        <v>0</v>
      </c>
    </row>
    <row r="22" spans="1:26" s="70" customFormat="1" ht="15" hidden="1" customHeight="1" outlineLevel="1" x14ac:dyDescent="0.3">
      <c r="A22" s="42"/>
      <c r="B22" s="12" t="str">
        <f>CONCATENATE("          ","4300"," - ","NON-TAX RETURNS")</f>
        <v xml:space="preserve">          4300 - NON-TAX RETURNS</v>
      </c>
      <c r="C22" s="12"/>
      <c r="D22" s="3">
        <f>-9969.65</f>
        <v>-9969.65</v>
      </c>
      <c r="E22" s="3"/>
      <c r="F22" s="20"/>
      <c r="G22" s="3"/>
      <c r="H22" s="3"/>
      <c r="I22" s="3"/>
      <c r="J22" s="20"/>
      <c r="K22" s="3"/>
      <c r="L22" s="3">
        <f t="shared" si="0"/>
        <v>-9969.65</v>
      </c>
      <c r="M22" s="3"/>
      <c r="N22" s="20">
        <f t="shared" si="1"/>
        <v>0</v>
      </c>
      <c r="O22" s="12"/>
      <c r="P22" s="3">
        <f>-41216.85</f>
        <v>-41216.85</v>
      </c>
      <c r="Q22" s="3"/>
      <c r="R22" s="20"/>
      <c r="S22" s="3"/>
      <c r="T22" s="3"/>
      <c r="U22" s="3"/>
      <c r="V22" s="20"/>
      <c r="W22" s="3"/>
      <c r="X22" s="3">
        <f t="shared" si="2"/>
        <v>-41216.85</v>
      </c>
      <c r="Y22" s="3"/>
      <c r="Z22" s="20">
        <f t="shared" si="3"/>
        <v>0</v>
      </c>
    </row>
    <row r="23" spans="1:26" s="70" customFormat="1" ht="15" hidden="1" customHeight="1" outlineLevel="1" x14ac:dyDescent="0.3">
      <c r="A23" s="42"/>
      <c r="B23" s="12" t="str">
        <f>CONCATENATE("          ","4500"," - ","SALES DISCOUNT")</f>
        <v xml:space="preserve">          4500 - SALES DISCOUNT</v>
      </c>
      <c r="C23" s="12"/>
      <c r="D23" s="3">
        <f>-14706.77</f>
        <v>-14706.77</v>
      </c>
      <c r="E23" s="3"/>
      <c r="F23" s="20"/>
      <c r="G23" s="3"/>
      <c r="H23" s="3"/>
      <c r="I23" s="3"/>
      <c r="J23" s="20"/>
      <c r="K23" s="3"/>
      <c r="L23" s="3">
        <f t="shared" si="0"/>
        <v>-14706.77</v>
      </c>
      <c r="M23" s="3"/>
      <c r="N23" s="20">
        <f t="shared" si="1"/>
        <v>0</v>
      </c>
      <c r="O23" s="12"/>
      <c r="P23" s="3">
        <f>-106613.91</f>
        <v>-106613.91</v>
      </c>
      <c r="Q23" s="3"/>
      <c r="R23" s="20"/>
      <c r="S23" s="3"/>
      <c r="T23" s="3"/>
      <c r="U23" s="3"/>
      <c r="V23" s="20"/>
      <c r="W23" s="3"/>
      <c r="X23" s="3">
        <f t="shared" si="2"/>
        <v>-106613.91</v>
      </c>
      <c r="Y23" s="3"/>
      <c r="Z23" s="20">
        <f t="shared" si="3"/>
        <v>0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collapsed="1" x14ac:dyDescent="0.3">
      <c r="A25" s="11"/>
      <c r="B25" s="28" t="s">
        <v>288</v>
      </c>
      <c r="C25" s="11"/>
      <c r="D25" s="5">
        <f>SUM(OSRRefD16x_0)</f>
        <v>427318.31999999995</v>
      </c>
      <c r="E25" s="5"/>
      <c r="F25" s="13">
        <f t="shared" ref="F25:F54" si="4">IF(D$12=0,0,D25/D$12)</f>
        <v>0.43740698078982299</v>
      </c>
      <c r="G25" s="5"/>
      <c r="H25" s="5">
        <f>SUM(OSRRefH16x_0)</f>
        <v>198098</v>
      </c>
      <c r="I25" s="5"/>
      <c r="J25" s="13">
        <f t="shared" ref="J25:J54" si="5">IF(H$12=0,0,H25/H$12)</f>
        <v>0.45308436694486315</v>
      </c>
      <c r="K25" s="5"/>
      <c r="L25" s="5">
        <f t="shared" ref="L25:L54" si="6">+D25-H25</f>
        <v>229220.31999999995</v>
      </c>
      <c r="M25" s="5"/>
      <c r="N25" s="13">
        <f t="shared" ref="N25:N54" si="7">IF(H25=0,0,L25/H25)</f>
        <v>1.1571056749689546</v>
      </c>
      <c r="O25" s="11"/>
      <c r="P25" s="5">
        <f>SUM(OSRRefP16x_0)</f>
        <v>3887244.79</v>
      </c>
      <c r="Q25" s="5"/>
      <c r="R25" s="13">
        <f t="shared" ref="R25:R54" si="8">IF(P$12=0,0,P25/P$12)</f>
        <v>0.5495730607909135</v>
      </c>
      <c r="S25" s="5"/>
      <c r="T25" s="5">
        <f>SUM(OSRRefT16x_0)</f>
        <v>5247904</v>
      </c>
      <c r="U25" s="5"/>
      <c r="V25" s="13">
        <f t="shared" ref="V25:V54" si="9">IF(T$12=0,0,T25/T$12)</f>
        <v>0.60518031370547454</v>
      </c>
      <c r="W25" s="5"/>
      <c r="X25" s="5">
        <f t="shared" ref="X25:X54" si="10">+P25-T25</f>
        <v>-1360659.21</v>
      </c>
      <c r="Y25" s="5"/>
      <c r="Z25" s="13">
        <f t="shared" ref="Z25:Z54" si="11">IF(T25=0,0,X25/T25)</f>
        <v>-0.25927669599139008</v>
      </c>
    </row>
    <row r="26" spans="1:26" s="70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154408.57999999999</v>
      </c>
      <c r="E26" s="3"/>
      <c r="F26" s="20">
        <f t="shared" si="4"/>
        <v>0.15805404922925806</v>
      </c>
      <c r="G26" s="3"/>
      <c r="H26" s="3">
        <v>198098</v>
      </c>
      <c r="I26" s="3"/>
      <c r="J26" s="20">
        <f t="shared" si="5"/>
        <v>0.45308436694486315</v>
      </c>
      <c r="K26" s="3"/>
      <c r="L26" s="3">
        <f t="shared" si="6"/>
        <v>-43689.420000000013</v>
      </c>
      <c r="M26" s="3"/>
      <c r="N26" s="20">
        <f t="shared" si="7"/>
        <v>-0.22054447798564353</v>
      </c>
      <c r="O26" s="12"/>
      <c r="P26" s="3">
        <v>3675986.07</v>
      </c>
      <c r="Q26" s="3"/>
      <c r="R26" s="20">
        <f t="shared" si="8"/>
        <v>0.51970560771261876</v>
      </c>
      <c r="S26" s="3"/>
      <c r="T26" s="3">
        <v>5247904</v>
      </c>
      <c r="U26" s="3"/>
      <c r="V26" s="20">
        <f t="shared" si="9"/>
        <v>0.60518031370547454</v>
      </c>
      <c r="W26" s="3"/>
      <c r="X26" s="3">
        <f t="shared" si="10"/>
        <v>-1571917.9300000002</v>
      </c>
      <c r="Y26" s="3"/>
      <c r="Z26" s="20">
        <f t="shared" si="11"/>
        <v>-0.2995325238418996</v>
      </c>
    </row>
    <row r="27" spans="1:26" s="70" customFormat="1" ht="15" hidden="1" customHeight="1" outlineLevel="1" x14ac:dyDescent="0.3">
      <c r="A27" s="42"/>
      <c r="B27" s="12" t="str">
        <f>CONCATENATE("          ","5001"," - ","PURCHASES @ COST-NEW TEXT")</f>
        <v xml:space="preserve">          5001 - PURCHASES @ COST-NEW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","5002"," - ","PURCHASES @ COST-USED TEXT")</f>
        <v xml:space="preserve">          5002 - PURCHASES @ COST-USED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","5004"," - ","PURCHASES @ COST-DIGITAL TEXT")</f>
        <v xml:space="preserve">          5004 - PURCHASES @ COST-DIGITAL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","5026"," - ","PURCHASES @ COST-WRITING INSTR")</f>
        <v xml:space="preserve">          5026 - PURCHASES @ COST-WRITING INSTR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","5027"," - ","PURCHASES @ COST-SCHOOL SUPPLI")</f>
        <v xml:space="preserve">          5027 - PURCHASES @ COST-SCHOOL SUPPLI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","5028"," - ","PURCHASES @ COST-ART/TECH")</f>
        <v xml:space="preserve">          5028 - PURCHASES @ COST-ART/TECH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","5031"," - ","PURCHASES @ COST-FOOD")</f>
        <v xml:space="preserve">          5031 - PURCHASES @ COST-FOOD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","5040"," - ","PURCHASES @ COST-LOGO CLOTHING")</f>
        <v xml:space="preserve">          5040 - PURCHASES @ COST-LOGO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","5041"," - ","PURCHASES @ COST-LOGO GIFTS")</f>
        <v xml:space="preserve">          5041 - PURCHASES @ COST-LOGO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","5042"," - ","PURCHASES @ COST-EVERYDAY GIFT")</f>
        <v xml:space="preserve">          5042 - PURCHASES @ COST-EVERYDAY GIFT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","5043"," - ","PURCHASES @ COST-CARDS")</f>
        <v xml:space="preserve">          5043 - PURCHASES @ COST-CARDS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","5044"," - ","PURCHASES @ COST-ACCESSORIES")</f>
        <v xml:space="preserve">          5044 - PURCHASES @ COST-ACCESSORIES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","5045"," - ","PURCHASES @ COST-SPECIAL ORDER")</f>
        <v xml:space="preserve">          5045 - PURCHASES @ COST-SPECIAL ORDER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","5053"," - ","PURCHASES @ COST-FOOD")</f>
        <v xml:space="preserve">          5053 - PURCHASES @ COST-FOOD</v>
      </c>
      <c r="C40" s="12"/>
      <c r="D40" s="3">
        <v>1344.8</v>
      </c>
      <c r="E40" s="3"/>
      <c r="F40" s="20">
        <f t="shared" si="4"/>
        <v>1.376549706004072E-3</v>
      </c>
      <c r="G40" s="3"/>
      <c r="H40" s="3"/>
      <c r="I40" s="3"/>
      <c r="J40" s="20">
        <f t="shared" si="5"/>
        <v>0</v>
      </c>
      <c r="K40" s="3"/>
      <c r="L40" s="3">
        <f t="shared" si="6"/>
        <v>1344.8</v>
      </c>
      <c r="M40" s="3"/>
      <c r="N40" s="20">
        <f t="shared" si="7"/>
        <v>0</v>
      </c>
      <c r="O40" s="12"/>
      <c r="P40" s="3">
        <v>28404.14</v>
      </c>
      <c r="Q40" s="3"/>
      <c r="R40" s="20">
        <f t="shared" si="8"/>
        <v>4.0157363382648248E-3</v>
      </c>
      <c r="S40" s="3"/>
      <c r="T40" s="3"/>
      <c r="U40" s="3"/>
      <c r="V40" s="20">
        <f t="shared" si="9"/>
        <v>0</v>
      </c>
      <c r="W40" s="3"/>
      <c r="X40" s="3">
        <f t="shared" si="10"/>
        <v>28404.14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","5059"," - ","PURCHASES @ COST-FOOD")</f>
        <v xml:space="preserve">          5059 - PURCHASES @ COST-FOOD</v>
      </c>
      <c r="C41" s="12"/>
      <c r="D41" s="3">
        <v>48685.02</v>
      </c>
      <c r="E41" s="3"/>
      <c r="F41" s="20">
        <f t="shared" si="4"/>
        <v>4.9834436323469934E-2</v>
      </c>
      <c r="G41" s="3"/>
      <c r="H41" s="3"/>
      <c r="I41" s="3"/>
      <c r="J41" s="20">
        <f t="shared" si="5"/>
        <v>0</v>
      </c>
      <c r="K41" s="3"/>
      <c r="L41" s="3">
        <f t="shared" si="6"/>
        <v>48685.02</v>
      </c>
      <c r="M41" s="3"/>
      <c r="N41" s="20">
        <f t="shared" si="7"/>
        <v>0</v>
      </c>
      <c r="O41" s="12"/>
      <c r="P41" s="3">
        <v>167582.81</v>
      </c>
      <c r="Q41" s="3"/>
      <c r="R41" s="20">
        <f t="shared" si="8"/>
        <v>2.3692615928013659E-2</v>
      </c>
      <c r="S41" s="3"/>
      <c r="T41" s="3"/>
      <c r="U41" s="3"/>
      <c r="V41" s="20">
        <f t="shared" si="9"/>
        <v>0</v>
      </c>
      <c r="W41" s="3"/>
      <c r="X41" s="3">
        <f t="shared" si="10"/>
        <v>167582.81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-214885.79</v>
      </c>
      <c r="E42" s="3"/>
      <c r="F42" s="20">
        <f t="shared" si="4"/>
        <v>-0.21995908019702021</v>
      </c>
      <c r="G42" s="3"/>
      <c r="H42" s="3"/>
      <c r="I42" s="3"/>
      <c r="J42" s="20">
        <f t="shared" si="5"/>
        <v>0</v>
      </c>
      <c r="K42" s="3"/>
      <c r="L42" s="3">
        <f t="shared" si="6"/>
        <v>-214885.79</v>
      </c>
      <c r="M42" s="3"/>
      <c r="N42" s="20">
        <f t="shared" si="7"/>
        <v>0</v>
      </c>
      <c r="O42" s="12"/>
      <c r="P42" s="3">
        <v>-3568024.44</v>
      </c>
      <c r="Q42" s="3"/>
      <c r="R42" s="20">
        <f t="shared" si="8"/>
        <v>-0.50444214820533217</v>
      </c>
      <c r="S42" s="3"/>
      <c r="T42" s="3"/>
      <c r="U42" s="3"/>
      <c r="V42" s="20">
        <f t="shared" si="9"/>
        <v>0</v>
      </c>
      <c r="W42" s="3"/>
      <c r="X42" s="3">
        <f t="shared" si="10"/>
        <v>-3568024.44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402607.93</v>
      </c>
      <c r="E43" s="3"/>
      <c r="F43" s="20">
        <f t="shared" si="4"/>
        <v>0.4121131972608626</v>
      </c>
      <c r="G43" s="3"/>
      <c r="H43" s="3"/>
      <c r="I43" s="3"/>
      <c r="J43" s="20">
        <f t="shared" si="5"/>
        <v>0</v>
      </c>
      <c r="K43" s="3"/>
      <c r="L43" s="3">
        <f t="shared" si="6"/>
        <v>402607.93</v>
      </c>
      <c r="M43" s="3"/>
      <c r="N43" s="20">
        <f t="shared" si="7"/>
        <v>0</v>
      </c>
      <c r="O43" s="12"/>
      <c r="P43" s="3">
        <v>3400022.02</v>
      </c>
      <c r="Q43" s="3"/>
      <c r="R43" s="20">
        <f t="shared" si="8"/>
        <v>0.48069020842083493</v>
      </c>
      <c r="S43" s="3"/>
      <c r="T43" s="3"/>
      <c r="U43" s="3"/>
      <c r="V43" s="20">
        <f t="shared" si="9"/>
        <v>0</v>
      </c>
      <c r="W43" s="3"/>
      <c r="X43" s="3">
        <f t="shared" si="10"/>
        <v>3400022.02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35157.78</v>
      </c>
      <c r="E44" s="3"/>
      <c r="F44" s="20">
        <f t="shared" si="4"/>
        <v>3.5987828467248545E-2</v>
      </c>
      <c r="G44" s="3"/>
      <c r="H44" s="3"/>
      <c r="I44" s="3"/>
      <c r="J44" s="20">
        <f t="shared" si="5"/>
        <v>0</v>
      </c>
      <c r="K44" s="3"/>
      <c r="L44" s="3">
        <f t="shared" si="6"/>
        <v>35157.78</v>
      </c>
      <c r="M44" s="3"/>
      <c r="N44" s="20">
        <f t="shared" si="7"/>
        <v>0</v>
      </c>
      <c r="O44" s="12"/>
      <c r="P44" s="3">
        <v>183274.19</v>
      </c>
      <c r="Q44" s="3"/>
      <c r="R44" s="20">
        <f t="shared" si="8"/>
        <v>2.591104059651346E-2</v>
      </c>
      <c r="S44" s="3"/>
      <c r="T44" s="3"/>
      <c r="U44" s="3"/>
      <c r="V44" s="20">
        <f t="shared" si="9"/>
        <v>0</v>
      </c>
      <c r="W44" s="3"/>
      <c r="X44" s="3">
        <f t="shared" si="10"/>
        <v>183274.19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","5501"," - ","FREIGHT-IN-NEW TEXT")</f>
        <v xml:space="preserve">          5501 - FREIGHT-IN-NEW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","5502"," - ","FREIGHT-IN-USED TEXT")</f>
        <v xml:space="preserve">          5502 - FREIGHT-IN-USED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","5518"," - ","FREIGHT-IN-STUDY GUIDES")</f>
        <v xml:space="preserve">          5518 - FREIGHT-IN-STUDY GUIDES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","5527"," - ","FREIGHT-IN-SCHOOL SUPPLIES")</f>
        <v xml:space="preserve">          5527 - FREIGHT-IN-SCHOOL SUPPLIES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","5528"," - ","FREIGHT-IN-ART/TECH")</f>
        <v xml:space="preserve">          5528 - FREIGHT-IN-ART/TECH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","5540"," - ","FREIGHT-IN-LOGO CLOTHING")</f>
        <v xml:space="preserve">          5540 - FREIGHT-IN-LOGO CLOTHING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","5541"," - ","FREIGHT-IN-LOGO GIFTS")</f>
        <v xml:space="preserve">          5541 - FREIGHT-IN-LOGO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","5542"," - ","FREIGHT-IN-EVERYDAY GIFTS")</f>
        <v xml:space="preserve">          5542 - FREIGHT-IN-EVERYDAY GIFTS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","5544"," - ","FREIGHT-IN-ACCESSORIES")</f>
        <v xml:space="preserve">          5544 - FREIGHT-IN-ACCESSORIES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","5545"," - ","FREIGHT-IN-SPECIAL ORDERS")</f>
        <v xml:space="preserve">          5545 - FREIGHT-IN-SPECIAL ORDERS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3">
      <c r="A56" s="11"/>
      <c r="B56" s="27" t="s">
        <v>289</v>
      </c>
      <c r="C56" s="27"/>
      <c r="D56" s="21">
        <f>D12-D25</f>
        <v>549616.9800000001</v>
      </c>
      <c r="E56" s="15"/>
      <c r="F56" s="23">
        <f>IF(D$12=0,0,D56/D$12)</f>
        <v>0.56259301921017701</v>
      </c>
      <c r="G56" s="15"/>
      <c r="H56" s="21">
        <f>H12-H25</f>
        <v>239123</v>
      </c>
      <c r="I56" s="15"/>
      <c r="J56" s="23">
        <f>IF(H$12=0,0,H56/H$12)</f>
        <v>0.54691563305513691</v>
      </c>
      <c r="K56" s="17"/>
      <c r="L56" s="21">
        <f>+D56-H56</f>
        <v>310493.9800000001</v>
      </c>
      <c r="M56" s="17"/>
      <c r="N56" s="23">
        <f>IF(H56=0,0,L56/H56)</f>
        <v>1.298469741513782</v>
      </c>
      <c r="O56" s="28"/>
      <c r="P56" s="21">
        <f>P12-P25</f>
        <v>3185963.6099999994</v>
      </c>
      <c r="Q56" s="15"/>
      <c r="R56" s="23">
        <f>IF(P$12=0,0,P56/P$12)</f>
        <v>0.45042693920908644</v>
      </c>
      <c r="S56" s="15"/>
      <c r="T56" s="21">
        <f>T12-T25</f>
        <v>3423733</v>
      </c>
      <c r="U56" s="15"/>
      <c r="V56" s="23">
        <f>IF(T$12=0,0,T56/T$12)</f>
        <v>0.39481968629452546</v>
      </c>
      <c r="W56" s="17"/>
      <c r="X56" s="21">
        <f>+P56-T56</f>
        <v>-237769.3900000006</v>
      </c>
      <c r="Y56" s="17"/>
      <c r="Z56" s="23">
        <f>IF(T56=0,0,X56/T56)</f>
        <v>-6.9447410180642183E-2</v>
      </c>
    </row>
    <row r="57" spans="1:26" ht="15" customHeight="1" x14ac:dyDescent="0.3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3">
      <c r="A58" s="11"/>
      <c r="B58" s="28" t="s">
        <v>290</v>
      </c>
      <c r="C58" s="11"/>
      <c r="D58" s="22" cm="1">
        <f t="array" ref="D58">SUM(OSRRefD22x_0)</f>
        <v>422292.66999999993</v>
      </c>
      <c r="E58" s="22"/>
      <c r="F58" s="33">
        <f t="shared" ref="F58:F89" si="12">IF(D$12=0,0,D58/D$12)</f>
        <v>0.43226267901262233</v>
      </c>
      <c r="G58" s="22"/>
      <c r="H58" s="22" cm="1">
        <f t="array" ref="H58">SUM(OSRRefH22x_0)</f>
        <v>373196.93499389105</v>
      </c>
      <c r="I58" s="22"/>
      <c r="J58" s="33">
        <f t="shared" ref="J58:J89" si="13">IF(H$12=0,0,H58/H$12)</f>
        <v>0.85356589686655271</v>
      </c>
      <c r="K58" s="5"/>
      <c r="L58" s="22">
        <f t="shared" ref="L58:L89" si="14">+D58-H58</f>
        <v>49095.73500610888</v>
      </c>
      <c r="M58" s="5"/>
      <c r="N58" s="33">
        <f t="shared" ref="N58:N89" si="15">IF(H58=0,0,L58/H58)</f>
        <v>0.13155449684202938</v>
      </c>
      <c r="O58" s="11"/>
      <c r="P58" s="22" cm="1">
        <f t="array" ref="P58">SUM(OSRRefP22x_0)</f>
        <v>3541116.1699999995</v>
      </c>
      <c r="Q58" s="22"/>
      <c r="R58" s="33">
        <f t="shared" ref="R58:R89" si="16">IF(P$12=0,0,P58/P$12)</f>
        <v>0.50063789580977136</v>
      </c>
      <c r="S58" s="22"/>
      <c r="T58" s="22" cm="1">
        <f t="array" ref="T58">SUM(OSRRefT22x_0)</f>
        <v>3762675.8804482841</v>
      </c>
      <c r="U58" s="22"/>
      <c r="V58" s="33">
        <f t="shared" ref="V58:V89" si="17">IF(T$12=0,0,T58/T$12)</f>
        <v>0.43390606415470162</v>
      </c>
      <c r="W58" s="5"/>
      <c r="X58" s="22">
        <f t="shared" ref="X58:X89" si="18">+P58-T58</f>
        <v>-221559.71044828463</v>
      </c>
      <c r="Y58" s="5"/>
      <c r="Z58" s="33">
        <f t="shared" ref="Z58:Z89" si="19">IF(T58=0,0,X58/T58)</f>
        <v>-5.888354923142837E-2</v>
      </c>
    </row>
    <row r="59" spans="1:26" s="69" customFormat="1" ht="15" customHeight="1" outlineLevel="1" collapsed="1" x14ac:dyDescent="0.3">
      <c r="A59" s="25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58704.43</v>
      </c>
      <c r="E59" s="2"/>
      <c r="F59" s="6">
        <f t="shared" si="12"/>
        <v>6.0090396979206297E-2</v>
      </c>
      <c r="G59" s="2"/>
      <c r="H59" s="2">
        <f>SUM(OSRRefH22_0x_0)</f>
        <v>55782.52702578521</v>
      </c>
      <c r="I59" s="2"/>
      <c r="J59" s="6">
        <f t="shared" si="13"/>
        <v>0.12758428123485654</v>
      </c>
      <c r="K59" s="2"/>
      <c r="L59" s="2">
        <f t="shared" si="14"/>
        <v>2921.9029742147904</v>
      </c>
      <c r="M59" s="2"/>
      <c r="N59" s="6">
        <f t="shared" si="15"/>
        <v>5.2380254714243304E-2</v>
      </c>
      <c r="O59" s="14"/>
      <c r="P59" s="2">
        <f>SUM(OSRRefP22_0x_0)</f>
        <v>503604.64999999991</v>
      </c>
      <c r="Q59" s="2"/>
      <c r="R59" s="6">
        <f t="shared" si="16"/>
        <v>7.1198898932484433E-2</v>
      </c>
      <c r="S59" s="2"/>
      <c r="T59" s="2">
        <f>SUM(OSRRefT22_0x_0)</f>
        <v>528978.68625049153</v>
      </c>
      <c r="U59" s="2"/>
      <c r="V59" s="6">
        <f t="shared" si="17"/>
        <v>6.1001018175748309E-2</v>
      </c>
      <c r="W59" s="2"/>
      <c r="X59" s="2">
        <f t="shared" si="18"/>
        <v>-25374.036250491627</v>
      </c>
      <c r="Y59" s="2"/>
      <c r="Z59" s="6">
        <f t="shared" si="19"/>
        <v>-4.7967974721907898E-2</v>
      </c>
    </row>
    <row r="60" spans="1:26" s="70" customFormat="1" ht="15" hidden="1" customHeight="1" outlineLevel="2" x14ac:dyDescent="0.3">
      <c r="A60" s="26"/>
      <c r="B60" s="12" t="str">
        <f>CONCATENATE("          ","6111"," - ","F.I.C.A.")</f>
        <v xml:space="preserve">          6111 - F.I.C.A.</v>
      </c>
      <c r="C60" s="12"/>
      <c r="D60" s="7">
        <v>11444.7</v>
      </c>
      <c r="E60" s="3"/>
      <c r="F60" s="8">
        <f t="shared" si="12"/>
        <v>1.1714900669471151E-2</v>
      </c>
      <c r="G60" s="3"/>
      <c r="H60" s="7">
        <v>12039.984401243901</v>
      </c>
      <c r="I60" s="3"/>
      <c r="J60" s="8">
        <f t="shared" si="13"/>
        <v>2.7537525419053296E-2</v>
      </c>
      <c r="K60" s="3"/>
      <c r="L60" s="7">
        <f t="shared" si="14"/>
        <v>-595.28440124389999</v>
      </c>
      <c r="M60" s="3"/>
      <c r="N60" s="8">
        <f t="shared" si="15"/>
        <v>-4.9442290073266101E-2</v>
      </c>
      <c r="O60" s="12"/>
      <c r="P60" s="7">
        <v>93692.36</v>
      </c>
      <c r="Q60" s="3"/>
      <c r="R60" s="8">
        <f t="shared" si="16"/>
        <v>1.3246090699094912E-2</v>
      </c>
      <c r="S60" s="3"/>
      <c r="T60" s="7">
        <v>108243.122157789</v>
      </c>
      <c r="U60" s="3"/>
      <c r="V60" s="8">
        <f t="shared" si="17"/>
        <v>1.2482432343257565E-2</v>
      </c>
      <c r="W60" s="3"/>
      <c r="X60" s="7">
        <f t="shared" si="18"/>
        <v>-14550.762157788995</v>
      </c>
      <c r="Y60" s="3"/>
      <c r="Z60" s="8">
        <f t="shared" si="19"/>
        <v>-0.13442666718886717</v>
      </c>
    </row>
    <row r="61" spans="1:26" s="70" customFormat="1" ht="15" hidden="1" customHeight="1" outlineLevel="2" x14ac:dyDescent="0.3">
      <c r="A61" s="26"/>
      <c r="B61" s="12" t="str">
        <f>CONCATENATE("          ","6112"," - ","COMPENSATION INSURANCE")</f>
        <v xml:space="preserve">          6112 - COMPENSATION INSURANCE</v>
      </c>
      <c r="C61" s="12"/>
      <c r="D61" s="7">
        <v>2668.97</v>
      </c>
      <c r="E61" s="3"/>
      <c r="F61" s="8">
        <f t="shared" si="12"/>
        <v>2.731982353386145E-3</v>
      </c>
      <c r="G61" s="3"/>
      <c r="H61" s="7">
        <v>3751.0977040807702</v>
      </c>
      <c r="I61" s="3"/>
      <c r="J61" s="8">
        <f t="shared" si="13"/>
        <v>8.5794088208955427E-3</v>
      </c>
      <c r="K61" s="3"/>
      <c r="L61" s="7">
        <f t="shared" si="14"/>
        <v>-1082.1277040807704</v>
      </c>
      <c r="M61" s="3"/>
      <c r="N61" s="8">
        <f t="shared" si="15"/>
        <v>-0.2884829427139522</v>
      </c>
      <c r="O61" s="12"/>
      <c r="P61" s="7">
        <v>26506.28</v>
      </c>
      <c r="Q61" s="3"/>
      <c r="R61" s="8">
        <f t="shared" si="16"/>
        <v>3.7474196292590503E-3</v>
      </c>
      <c r="S61" s="3"/>
      <c r="T61" s="7">
        <v>34696.115564010797</v>
      </c>
      <c r="U61" s="3"/>
      <c r="V61" s="8">
        <f t="shared" si="17"/>
        <v>4.0011033169412881E-3</v>
      </c>
      <c r="W61" s="3"/>
      <c r="X61" s="7">
        <f t="shared" si="18"/>
        <v>-8189.8355640107984</v>
      </c>
      <c r="Y61" s="3"/>
      <c r="Z61" s="8">
        <f t="shared" si="19"/>
        <v>-0.23604473961649644</v>
      </c>
    </row>
    <row r="62" spans="1:26" s="70" customFormat="1" ht="15" hidden="1" customHeight="1" outlineLevel="2" x14ac:dyDescent="0.3">
      <c r="A62" s="26"/>
      <c r="B62" s="12" t="str">
        <f>CONCATENATE("          ","6113"," - ","GROUP INSURANCE")</f>
        <v xml:space="preserve">          6113 - GROUP INSURANCE</v>
      </c>
      <c r="C62" s="12"/>
      <c r="D62" s="7">
        <v>17292.98</v>
      </c>
      <c r="E62" s="3"/>
      <c r="F62" s="8">
        <f t="shared" si="12"/>
        <v>1.7701254115804803E-2</v>
      </c>
      <c r="G62" s="3"/>
      <c r="H62" s="7">
        <v>18761.1538461538</v>
      </c>
      <c r="I62" s="3"/>
      <c r="J62" s="8">
        <f t="shared" si="13"/>
        <v>4.2910001683710987E-2</v>
      </c>
      <c r="K62" s="3"/>
      <c r="L62" s="7">
        <f t="shared" si="14"/>
        <v>-1468.1738461538007</v>
      </c>
      <c r="M62" s="3"/>
      <c r="N62" s="8">
        <f t="shared" si="15"/>
        <v>-7.8256052809608456E-2</v>
      </c>
      <c r="O62" s="12"/>
      <c r="P62" s="7">
        <v>176727.12</v>
      </c>
      <c r="Q62" s="3"/>
      <c r="R62" s="8">
        <f t="shared" si="16"/>
        <v>2.4985425284514452E-2</v>
      </c>
      <c r="S62" s="3"/>
      <c r="T62" s="7">
        <v>186144.65384615399</v>
      </c>
      <c r="U62" s="3"/>
      <c r="V62" s="8">
        <f t="shared" si="17"/>
        <v>2.1465918585631984E-2</v>
      </c>
      <c r="W62" s="3"/>
      <c r="X62" s="7">
        <f t="shared" si="18"/>
        <v>-9417.5338461539941</v>
      </c>
      <c r="Y62" s="3"/>
      <c r="Z62" s="8">
        <f t="shared" si="19"/>
        <v>-5.0592556120024036E-2</v>
      </c>
    </row>
    <row r="63" spans="1:26" s="70" customFormat="1" ht="15" hidden="1" customHeight="1" outlineLevel="2" x14ac:dyDescent="0.3">
      <c r="A63" s="26"/>
      <c r="B63" s="12" t="str">
        <f>CONCATENATE("          ","6114"," - ","STATE UNEMPLOYMENT INSURANCE")</f>
        <v xml:space="preserve">          6114 - STATE UNEMPLOYMENT INSURANCE</v>
      </c>
      <c r="C63" s="12"/>
      <c r="D63" s="7">
        <v>477.36</v>
      </c>
      <c r="E63" s="3"/>
      <c r="F63" s="8">
        <f t="shared" si="12"/>
        <v>4.8863010682488389E-4</v>
      </c>
      <c r="G63" s="3"/>
      <c r="H63" s="7">
        <v>436.73789550865399</v>
      </c>
      <c r="I63" s="3"/>
      <c r="J63" s="8">
        <f t="shared" si="13"/>
        <v>9.988950565243983E-4</v>
      </c>
      <c r="K63" s="3"/>
      <c r="L63" s="7">
        <f t="shared" si="14"/>
        <v>40.622104491346022</v>
      </c>
      <c r="M63" s="3"/>
      <c r="N63" s="8">
        <f t="shared" si="15"/>
        <v>9.301254805020942E-2</v>
      </c>
      <c r="O63" s="12"/>
      <c r="P63" s="7">
        <v>4748.8</v>
      </c>
      <c r="Q63" s="3"/>
      <c r="R63" s="8">
        <f t="shared" si="16"/>
        <v>6.7137849352777456E-4</v>
      </c>
      <c r="S63" s="3"/>
      <c r="T63" s="7">
        <v>4182.4217637299998</v>
      </c>
      <c r="U63" s="3"/>
      <c r="V63" s="8">
        <f t="shared" si="17"/>
        <v>4.8231052150015042E-4</v>
      </c>
      <c r="W63" s="3"/>
      <c r="X63" s="7">
        <f t="shared" si="18"/>
        <v>566.37823627000034</v>
      </c>
      <c r="Y63" s="3"/>
      <c r="Z63" s="8">
        <f t="shared" si="19"/>
        <v>0.13541872825491624</v>
      </c>
    </row>
    <row r="64" spans="1:26" s="70" customFormat="1" ht="15" hidden="1" customHeight="1" outlineLevel="2" x14ac:dyDescent="0.3">
      <c r="A64" s="26"/>
      <c r="B64" s="12" t="str">
        <f>CONCATENATE("          ","6115"," - ","P.E.R.S.")</f>
        <v xml:space="preserve">          6115 - P.E.R.S.</v>
      </c>
      <c r="C64" s="12"/>
      <c r="D64" s="7">
        <v>7847.66</v>
      </c>
      <c r="E64" s="3"/>
      <c r="F64" s="8">
        <f t="shared" si="12"/>
        <v>8.0329372886822695E-3</v>
      </c>
      <c r="G64" s="3"/>
      <c r="H64" s="7">
        <v>5766.90857321154</v>
      </c>
      <c r="I64" s="3"/>
      <c r="J64" s="8">
        <f t="shared" si="13"/>
        <v>1.3189916708510205E-2</v>
      </c>
      <c r="K64" s="3"/>
      <c r="L64" s="7">
        <f t="shared" si="14"/>
        <v>2080.7514267884599</v>
      </c>
      <c r="M64" s="3"/>
      <c r="N64" s="8">
        <f t="shared" si="15"/>
        <v>0.3608088112327586</v>
      </c>
      <c r="O64" s="12"/>
      <c r="P64" s="7">
        <v>69741.399999999994</v>
      </c>
      <c r="Q64" s="3"/>
      <c r="R64" s="8">
        <f t="shared" si="16"/>
        <v>9.8599385252101431E-3</v>
      </c>
      <c r="S64" s="3"/>
      <c r="T64" s="7">
        <v>52566.388905799999</v>
      </c>
      <c r="U64" s="3"/>
      <c r="V64" s="8">
        <f t="shared" si="17"/>
        <v>6.061876080121896E-3</v>
      </c>
      <c r="W64" s="3"/>
      <c r="X64" s="7">
        <f t="shared" si="18"/>
        <v>17175.011094199996</v>
      </c>
      <c r="Y64" s="3"/>
      <c r="Z64" s="8">
        <f t="shared" si="19"/>
        <v>0.32672990197173241</v>
      </c>
    </row>
    <row r="65" spans="1:26" s="70" customFormat="1" ht="15" hidden="1" customHeight="1" outlineLevel="2" x14ac:dyDescent="0.3">
      <c r="A65" s="26"/>
      <c r="B65" s="12" t="str">
        <f>CONCATENATE("          ","6116"," - ","EDUCATIONAL BENEFITS")</f>
        <v xml:space="preserve">          6116 - EDUCATIONAL BENEFITS</v>
      </c>
      <c r="C65" s="12"/>
      <c r="D65" s="7"/>
      <c r="E65" s="3"/>
      <c r="F65" s="8">
        <f t="shared" si="12"/>
        <v>0</v>
      </c>
      <c r="G65" s="3"/>
      <c r="H65" s="7">
        <v>0</v>
      </c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0</v>
      </c>
      <c r="U65" s="3"/>
      <c r="V65" s="8">
        <f t="shared" si="17"/>
        <v>0</v>
      </c>
      <c r="W65" s="3"/>
      <c r="X65" s="7">
        <f t="shared" si="18"/>
        <v>0</v>
      </c>
      <c r="Y65" s="3"/>
      <c r="Z65" s="8">
        <f t="shared" si="19"/>
        <v>0</v>
      </c>
    </row>
    <row r="66" spans="1:26" s="70" customFormat="1" ht="15" hidden="1" customHeight="1" outlineLevel="2" x14ac:dyDescent="0.3">
      <c r="A66" s="26"/>
      <c r="B66" s="12" t="str">
        <f>CONCATENATE("          ","6117"," - ","RETIREMENT STAFF HOURLY")</f>
        <v xml:space="preserve">          6117 - RETIREMENT STAFF HOURLY</v>
      </c>
      <c r="C66" s="12"/>
      <c r="D66" s="7">
        <v>947.19</v>
      </c>
      <c r="E66" s="3"/>
      <c r="F66" s="8">
        <f t="shared" si="12"/>
        <v>9.6955243607227621E-4</v>
      </c>
      <c r="G66" s="3"/>
      <c r="H66" s="7"/>
      <c r="I66" s="3"/>
      <c r="J66" s="8">
        <f t="shared" si="13"/>
        <v>0</v>
      </c>
      <c r="K66" s="3"/>
      <c r="L66" s="7">
        <f t="shared" si="14"/>
        <v>947.19</v>
      </c>
      <c r="M66" s="3"/>
      <c r="N66" s="8">
        <f t="shared" si="15"/>
        <v>0</v>
      </c>
      <c r="O66" s="12"/>
      <c r="P66" s="7">
        <v>7843.88</v>
      </c>
      <c r="Q66" s="3"/>
      <c r="R66" s="8">
        <f t="shared" si="16"/>
        <v>1.1089564390609501E-3</v>
      </c>
      <c r="S66" s="3"/>
      <c r="T66" s="7"/>
      <c r="U66" s="3"/>
      <c r="V66" s="8">
        <f t="shared" si="17"/>
        <v>0</v>
      </c>
      <c r="W66" s="3"/>
      <c r="X66" s="7">
        <f t="shared" si="18"/>
        <v>7843.88</v>
      </c>
      <c r="Y66" s="3"/>
      <c r="Z66" s="8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","6118"," - ","VACATION")</f>
        <v xml:space="preserve">          6118 - VACATION</v>
      </c>
      <c r="C67" s="12"/>
      <c r="D67" s="7">
        <v>8327.99</v>
      </c>
      <c r="E67" s="3"/>
      <c r="F67" s="8">
        <f t="shared" si="12"/>
        <v>8.5246075149500687E-3</v>
      </c>
      <c r="G67" s="3"/>
      <c r="H67" s="7">
        <v>5030.6720235288503</v>
      </c>
      <c r="I67" s="3"/>
      <c r="J67" s="8">
        <f t="shared" si="13"/>
        <v>1.1506016461992563E-2</v>
      </c>
      <c r="K67" s="3"/>
      <c r="L67" s="7">
        <f t="shared" si="14"/>
        <v>3297.3179764711494</v>
      </c>
      <c r="M67" s="3"/>
      <c r="N67" s="8">
        <f t="shared" si="15"/>
        <v>0.65544284362990335</v>
      </c>
      <c r="O67" s="12"/>
      <c r="P67" s="7">
        <v>66965.429999999993</v>
      </c>
      <c r="Q67" s="3"/>
      <c r="R67" s="8">
        <f t="shared" si="16"/>
        <v>9.467475891138737E-3</v>
      </c>
      <c r="S67" s="3"/>
      <c r="T67" s="7">
        <v>46383.394576284598</v>
      </c>
      <c r="U67" s="3"/>
      <c r="V67" s="8">
        <f t="shared" si="17"/>
        <v>5.3488625707331381E-3</v>
      </c>
      <c r="W67" s="3"/>
      <c r="X67" s="7">
        <f t="shared" si="18"/>
        <v>20582.035423715395</v>
      </c>
      <c r="Y67" s="3"/>
      <c r="Z67" s="8">
        <f t="shared" si="19"/>
        <v>0.4437371523092189</v>
      </c>
    </row>
    <row r="68" spans="1:26" s="70" customFormat="1" ht="15" hidden="1" customHeight="1" outlineLevel="2" x14ac:dyDescent="0.3">
      <c r="A68" s="26"/>
      <c r="B68" s="12" t="str">
        <f>CONCATENATE("          ","6119"," - ","SICK LEAVE")</f>
        <v xml:space="preserve">          6119 - SICK LEAVE</v>
      </c>
      <c r="C68" s="12"/>
      <c r="D68" s="7">
        <v>6132.14</v>
      </c>
      <c r="E68" s="3"/>
      <c r="F68" s="8">
        <f t="shared" si="12"/>
        <v>6.2769151652110429E-3</v>
      </c>
      <c r="G68" s="3"/>
      <c r="H68" s="7">
        <v>7720.9725820576896</v>
      </c>
      <c r="I68" s="3"/>
      <c r="J68" s="8">
        <f t="shared" si="13"/>
        <v>1.7659198853800913E-2</v>
      </c>
      <c r="K68" s="3"/>
      <c r="L68" s="7">
        <f t="shared" si="14"/>
        <v>-1588.8325820576893</v>
      </c>
      <c r="M68" s="3"/>
      <c r="N68" s="8">
        <f t="shared" si="15"/>
        <v>-0.20578140450205498</v>
      </c>
      <c r="O68" s="12"/>
      <c r="P68" s="7">
        <v>26638.53</v>
      </c>
      <c r="Q68" s="3"/>
      <c r="R68" s="8">
        <f t="shared" si="16"/>
        <v>3.7661169434792846E-3</v>
      </c>
      <c r="S68" s="3"/>
      <c r="T68" s="7">
        <v>73137.589436723094</v>
      </c>
      <c r="U68" s="3"/>
      <c r="V68" s="8">
        <f t="shared" si="17"/>
        <v>8.4341156619820567E-3</v>
      </c>
      <c r="W68" s="3"/>
      <c r="X68" s="7">
        <f t="shared" si="18"/>
        <v>-46499.059436723095</v>
      </c>
      <c r="Y68" s="3"/>
      <c r="Z68" s="8">
        <f t="shared" si="19"/>
        <v>-0.63577511639145523</v>
      </c>
    </row>
    <row r="69" spans="1:26" s="70" customFormat="1" ht="15" hidden="1" customHeight="1" outlineLevel="2" x14ac:dyDescent="0.3">
      <c r="A69" s="26"/>
      <c r="B69" s="12" t="str">
        <f>CONCATENATE("          ","6156"," - ","EMPLOYEE MEALS")</f>
        <v xml:space="preserve">          6156 - EMPLOYEE MEALS</v>
      </c>
      <c r="C69" s="12"/>
      <c r="D69" s="7">
        <v>3565.44</v>
      </c>
      <c r="E69" s="3"/>
      <c r="F69" s="8">
        <f t="shared" si="12"/>
        <v>3.6496173288036574E-3</v>
      </c>
      <c r="G69" s="3"/>
      <c r="H69" s="7">
        <v>2275</v>
      </c>
      <c r="I69" s="3"/>
      <c r="J69" s="8">
        <f t="shared" si="13"/>
        <v>5.2033182303686237E-3</v>
      </c>
      <c r="K69" s="3"/>
      <c r="L69" s="7">
        <f t="shared" si="14"/>
        <v>1290.44</v>
      </c>
      <c r="M69" s="3"/>
      <c r="N69" s="8">
        <f t="shared" si="15"/>
        <v>0.56722637362637363</v>
      </c>
      <c r="O69" s="12"/>
      <c r="P69" s="7">
        <v>30740.85</v>
      </c>
      <c r="Q69" s="3"/>
      <c r="R69" s="8">
        <f t="shared" si="16"/>
        <v>4.3460970271991424E-3</v>
      </c>
      <c r="S69" s="3"/>
      <c r="T69" s="7">
        <v>23625</v>
      </c>
      <c r="U69" s="3"/>
      <c r="V69" s="8">
        <f t="shared" si="17"/>
        <v>2.7243990955802232E-3</v>
      </c>
      <c r="W69" s="3"/>
      <c r="X69" s="7">
        <f t="shared" si="18"/>
        <v>7115.8499999999985</v>
      </c>
      <c r="Y69" s="3"/>
      <c r="Z69" s="8">
        <f t="shared" si="19"/>
        <v>0.30119999999999991</v>
      </c>
    </row>
    <row r="70" spans="1:26" s="69" customFormat="1" ht="15" customHeight="1" outlineLevel="1" collapsed="1" x14ac:dyDescent="0.3">
      <c r="A70" s="25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224666.99</v>
      </c>
      <c r="E70" s="2"/>
      <c r="F70" s="6">
        <f t="shared" si="12"/>
        <v>0.22997120689568692</v>
      </c>
      <c r="G70" s="2"/>
      <c r="H70" s="2">
        <f>SUM(OSRRefH22_1x_0)</f>
        <v>198406.15796810584</v>
      </c>
      <c r="I70" s="2"/>
      <c r="J70" s="6">
        <f t="shared" si="13"/>
        <v>0.45378917748256792</v>
      </c>
      <c r="K70" s="2"/>
      <c r="L70" s="2">
        <f t="shared" si="14"/>
        <v>26260.832031894155</v>
      </c>
      <c r="M70" s="2"/>
      <c r="N70" s="6">
        <f t="shared" si="15"/>
        <v>0.13235895650031002</v>
      </c>
      <c r="O70" s="14"/>
      <c r="P70" s="2">
        <f>SUM(OSRRefP22_1x_0)</f>
        <v>1825041.96</v>
      </c>
      <c r="Q70" s="2"/>
      <c r="R70" s="6">
        <f t="shared" si="16"/>
        <v>0.25802179955563026</v>
      </c>
      <c r="S70" s="2"/>
      <c r="T70" s="2">
        <f>SUM(OSRRefT22_1x_0)</f>
        <v>1906947.4441977926</v>
      </c>
      <c r="U70" s="2"/>
      <c r="V70" s="6">
        <f t="shared" si="17"/>
        <v>0.21990628115519509</v>
      </c>
      <c r="W70" s="2"/>
      <c r="X70" s="2">
        <f t="shared" si="18"/>
        <v>-81905.484197792597</v>
      </c>
      <c r="Y70" s="2"/>
      <c r="Z70" s="6">
        <f t="shared" si="19"/>
        <v>-4.2951096763051214E-2</v>
      </c>
    </row>
    <row r="71" spans="1:26" s="70" customFormat="1" ht="15" hidden="1" customHeight="1" outlineLevel="2" x14ac:dyDescent="0.3">
      <c r="A71" s="26"/>
      <c r="B71" s="12" t="str">
        <f>CONCATENATE("          ","6001"," - ","ADMINISTRATIVE SALARIES")</f>
        <v xml:space="preserve">          6001 - ADMINISTRATIVE SALARIES</v>
      </c>
      <c r="C71" s="12"/>
      <c r="D71" s="7">
        <v>2749.47</v>
      </c>
      <c r="E71" s="3"/>
      <c r="F71" s="8">
        <f t="shared" si="12"/>
        <v>2.814382897209262E-3</v>
      </c>
      <c r="G71" s="3"/>
      <c r="H71" s="7">
        <v>5174.7596153846198</v>
      </c>
      <c r="I71" s="3"/>
      <c r="J71" s="8">
        <f t="shared" si="13"/>
        <v>1.18355696898928E-2</v>
      </c>
      <c r="K71" s="3"/>
      <c r="L71" s="7">
        <f t="shared" si="14"/>
        <v>-2425.28961538462</v>
      </c>
      <c r="M71" s="3"/>
      <c r="N71" s="8">
        <f t="shared" si="15"/>
        <v>-0.46867676870906355</v>
      </c>
      <c r="O71" s="12"/>
      <c r="P71" s="7">
        <v>47666.53</v>
      </c>
      <c r="Q71" s="3"/>
      <c r="R71" s="8">
        <f t="shared" si="16"/>
        <v>6.7390252491358804E-3</v>
      </c>
      <c r="S71" s="3"/>
      <c r="T71" s="7">
        <v>45537.884615384603</v>
      </c>
      <c r="U71" s="3"/>
      <c r="V71" s="8">
        <f t="shared" si="17"/>
        <v>5.2513596470175816E-3</v>
      </c>
      <c r="W71" s="3"/>
      <c r="X71" s="7">
        <f t="shared" si="18"/>
        <v>2128.6453846153963</v>
      </c>
      <c r="Y71" s="3"/>
      <c r="Z71" s="8">
        <f t="shared" si="19"/>
        <v>4.6744494229234594E-2</v>
      </c>
    </row>
    <row r="72" spans="1:26" s="70" customFormat="1" ht="15" hidden="1" customHeight="1" outlineLevel="2" x14ac:dyDescent="0.3">
      <c r="A72" s="26"/>
      <c r="B72" s="12" t="str">
        <f>CONCATENATE("          ","6002"," - ","STAFF SALARIES")</f>
        <v xml:space="preserve">          6002 - STAFF SALARIES</v>
      </c>
      <c r="C72" s="12"/>
      <c r="D72" s="7">
        <v>64090.58</v>
      </c>
      <c r="E72" s="3"/>
      <c r="F72" s="8">
        <f t="shared" si="12"/>
        <v>6.5603709887440853E-2</v>
      </c>
      <c r="G72" s="3"/>
      <c r="H72" s="7">
        <v>55289.717317721203</v>
      </c>
      <c r="I72" s="3"/>
      <c r="J72" s="8">
        <f t="shared" si="13"/>
        <v>0.12645714025108859</v>
      </c>
      <c r="K72" s="3"/>
      <c r="L72" s="7">
        <f t="shared" si="14"/>
        <v>8800.8626822787992</v>
      </c>
      <c r="M72" s="3"/>
      <c r="N72" s="8">
        <f t="shared" si="15"/>
        <v>0.15917720526051574</v>
      </c>
      <c r="O72" s="12"/>
      <c r="P72" s="7">
        <v>594990.6</v>
      </c>
      <c r="Q72" s="3"/>
      <c r="R72" s="8">
        <f t="shared" si="16"/>
        <v>8.4118912712935201E-2</v>
      </c>
      <c r="S72" s="3"/>
      <c r="T72" s="7">
        <v>504514.09893440799</v>
      </c>
      <c r="U72" s="3"/>
      <c r="V72" s="8">
        <f t="shared" si="17"/>
        <v>5.8179799146851743E-2</v>
      </c>
      <c r="W72" s="3"/>
      <c r="X72" s="7">
        <f t="shared" si="18"/>
        <v>90476.50106559199</v>
      </c>
      <c r="Y72" s="3"/>
      <c r="Z72" s="8">
        <f t="shared" si="19"/>
        <v>0.17933393983773457</v>
      </c>
    </row>
    <row r="73" spans="1:26" s="70" customFormat="1" ht="15" hidden="1" customHeight="1" outlineLevel="2" x14ac:dyDescent="0.3">
      <c r="A73" s="26"/>
      <c r="B73" s="12" t="str">
        <f>CONCATENATE("          ","6003"," - ","STAFF HOURLY-9 MONTH")</f>
        <v xml:space="preserve">          6003 - STAFF HOURLY-9 MONTH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7">
        <v>44607.34</v>
      </c>
      <c r="E74" s="3"/>
      <c r="F74" s="8">
        <f t="shared" si="12"/>
        <v>4.5660485397548842E-2</v>
      </c>
      <c r="G74" s="3"/>
      <c r="H74" s="7">
        <v>49570.966710000001</v>
      </c>
      <c r="I74" s="3"/>
      <c r="J74" s="8">
        <f t="shared" si="13"/>
        <v>0.11337736913368754</v>
      </c>
      <c r="K74" s="3"/>
      <c r="L74" s="7">
        <f t="shared" si="14"/>
        <v>-4963.6267100000041</v>
      </c>
      <c r="M74" s="3"/>
      <c r="N74" s="8">
        <f t="shared" si="15"/>
        <v>-0.10013173112072246</v>
      </c>
      <c r="O74" s="12"/>
      <c r="P74" s="7">
        <v>269848.02</v>
      </c>
      <c r="Q74" s="3"/>
      <c r="R74" s="8">
        <f t="shared" si="16"/>
        <v>3.8150723793179915E-2</v>
      </c>
      <c r="S74" s="3"/>
      <c r="T74" s="7">
        <v>413877.65579799999</v>
      </c>
      <c r="U74" s="3"/>
      <c r="V74" s="8">
        <f t="shared" si="17"/>
        <v>4.7727742270346415E-2</v>
      </c>
      <c r="W74" s="3"/>
      <c r="X74" s="7">
        <f t="shared" si="18"/>
        <v>-144029.63579799997</v>
      </c>
      <c r="Y74" s="3"/>
      <c r="Z74" s="8">
        <f t="shared" si="19"/>
        <v>-0.34800051121458964</v>
      </c>
    </row>
    <row r="75" spans="1:26" s="70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7">
        <v>11516.03</v>
      </c>
      <c r="E75" s="3"/>
      <c r="F75" s="8">
        <f t="shared" si="12"/>
        <v>1.1787914716563113E-2</v>
      </c>
      <c r="G75" s="3"/>
      <c r="H75" s="7">
        <v>2396.66</v>
      </c>
      <c r="I75" s="3"/>
      <c r="J75" s="8">
        <f t="shared" si="13"/>
        <v>5.4815756791187975E-3</v>
      </c>
      <c r="K75" s="3"/>
      <c r="L75" s="7">
        <f t="shared" si="14"/>
        <v>9119.3700000000008</v>
      </c>
      <c r="M75" s="3"/>
      <c r="N75" s="8">
        <f t="shared" si="15"/>
        <v>3.8050328373653342</v>
      </c>
      <c r="O75" s="12"/>
      <c r="P75" s="7">
        <v>104920.95</v>
      </c>
      <c r="Q75" s="3"/>
      <c r="R75" s="8">
        <f t="shared" si="16"/>
        <v>1.4833572555277744E-2</v>
      </c>
      <c r="S75" s="3"/>
      <c r="T75" s="7">
        <v>31379</v>
      </c>
      <c r="U75" s="3"/>
      <c r="V75" s="8">
        <f t="shared" si="17"/>
        <v>3.6185785913317174E-3</v>
      </c>
      <c r="W75" s="3"/>
      <c r="X75" s="7">
        <f t="shared" si="18"/>
        <v>73541.95</v>
      </c>
      <c r="Y75" s="3"/>
      <c r="Z75" s="8">
        <f t="shared" si="19"/>
        <v>2.3436677395710506</v>
      </c>
    </row>
    <row r="76" spans="1:26" s="70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7">
        <v>5340.79</v>
      </c>
      <c r="E76" s="3"/>
      <c r="F76" s="8">
        <f t="shared" si="12"/>
        <v>5.4668819931064008E-3</v>
      </c>
      <c r="G76" s="3"/>
      <c r="H76" s="7">
        <v>0</v>
      </c>
      <c r="I76" s="3"/>
      <c r="J76" s="8">
        <f t="shared" si="13"/>
        <v>0</v>
      </c>
      <c r="K76" s="3"/>
      <c r="L76" s="7">
        <f t="shared" si="14"/>
        <v>5340.79</v>
      </c>
      <c r="M76" s="3"/>
      <c r="N76" s="8">
        <f t="shared" si="15"/>
        <v>0</v>
      </c>
      <c r="O76" s="12"/>
      <c r="P76" s="7">
        <v>23036.14</v>
      </c>
      <c r="Q76" s="3"/>
      <c r="R76" s="8">
        <f t="shared" si="16"/>
        <v>3.2568162419758483E-3</v>
      </c>
      <c r="S76" s="3"/>
      <c r="T76" s="7">
        <v>0</v>
      </c>
      <c r="U76" s="3"/>
      <c r="V76" s="8">
        <f t="shared" si="17"/>
        <v>0</v>
      </c>
      <c r="W76" s="3"/>
      <c r="X76" s="7">
        <f t="shared" si="18"/>
        <v>23036.14</v>
      </c>
      <c r="Y76" s="3"/>
      <c r="Z76" s="8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7">
        <v>73779.45</v>
      </c>
      <c r="E77" s="3"/>
      <c r="F77" s="8">
        <f t="shared" si="12"/>
        <v>7.5521326744974818E-2</v>
      </c>
      <c r="G77" s="3"/>
      <c r="H77" s="7">
        <v>37849.415999999997</v>
      </c>
      <c r="I77" s="3"/>
      <c r="J77" s="8">
        <f t="shared" si="13"/>
        <v>8.6568156607299274E-2</v>
      </c>
      <c r="K77" s="3"/>
      <c r="L77" s="7">
        <f t="shared" si="14"/>
        <v>35930.034</v>
      </c>
      <c r="M77" s="3"/>
      <c r="N77" s="8">
        <f t="shared" si="15"/>
        <v>0.94928899299265279</v>
      </c>
      <c r="O77" s="12"/>
      <c r="P77" s="7">
        <v>669984.05000000005</v>
      </c>
      <c r="Q77" s="3"/>
      <c r="R77" s="8">
        <f t="shared" si="16"/>
        <v>9.4721378490700212E-2</v>
      </c>
      <c r="S77" s="3"/>
      <c r="T77" s="7">
        <v>365232.54599999997</v>
      </c>
      <c r="U77" s="3"/>
      <c r="V77" s="8">
        <f t="shared" si="17"/>
        <v>4.2118062137517974E-2</v>
      </c>
      <c r="W77" s="3"/>
      <c r="X77" s="7">
        <f t="shared" si="18"/>
        <v>304751.50400000007</v>
      </c>
      <c r="Y77" s="3"/>
      <c r="Z77" s="8">
        <f t="shared" si="19"/>
        <v>0.83440401831002242</v>
      </c>
    </row>
    <row r="78" spans="1:26" s="70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7">
        <v>22583.33</v>
      </c>
      <c r="E78" s="3"/>
      <c r="F78" s="8">
        <f t="shared" si="12"/>
        <v>2.311650525884365E-2</v>
      </c>
      <c r="G78" s="3"/>
      <c r="H78" s="7">
        <v>48124.638325</v>
      </c>
      <c r="I78" s="3"/>
      <c r="J78" s="8">
        <f t="shared" si="13"/>
        <v>0.1100693661214809</v>
      </c>
      <c r="K78" s="3"/>
      <c r="L78" s="7">
        <f t="shared" si="14"/>
        <v>-25541.308324999998</v>
      </c>
      <c r="M78" s="3"/>
      <c r="N78" s="8">
        <f t="shared" si="15"/>
        <v>-0.53073247330217721</v>
      </c>
      <c r="O78" s="12"/>
      <c r="P78" s="7">
        <v>114595.67</v>
      </c>
      <c r="Q78" s="3"/>
      <c r="R78" s="8">
        <f t="shared" si="16"/>
        <v>1.6201370512425452E-2</v>
      </c>
      <c r="S78" s="3"/>
      <c r="T78" s="7">
        <v>546406.25884999998</v>
      </c>
      <c r="U78" s="3"/>
      <c r="V78" s="8">
        <f t="shared" si="17"/>
        <v>6.301073936212967E-2</v>
      </c>
      <c r="W78" s="3"/>
      <c r="X78" s="7">
        <f t="shared" si="18"/>
        <v>-431810.58885</v>
      </c>
      <c r="Y78" s="3"/>
      <c r="Z78" s="8">
        <f t="shared" si="19"/>
        <v>-0.7902738701398021</v>
      </c>
    </row>
    <row r="79" spans="1:26" s="70" customFormat="1" ht="15" hidden="1" customHeight="1" outlineLevel="2" x14ac:dyDescent="0.3">
      <c r="A79" s="26"/>
      <c r="B79" s="12" t="str">
        <f>CONCATENATE("          ","6009"," - ","TEMPORARY-SEASONAL")</f>
        <v xml:space="preserve">          6009 - TEMPORARY-SEASONAL</v>
      </c>
      <c r="C79" s="12"/>
      <c r="D79" s="7"/>
      <c r="E79" s="3"/>
      <c r="F79" s="8">
        <f t="shared" si="12"/>
        <v>0</v>
      </c>
      <c r="G79" s="3"/>
      <c r="H79" s="7">
        <v>0</v>
      </c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0</v>
      </c>
      <c r="U79" s="3"/>
      <c r="V79" s="8">
        <f t="shared" si="17"/>
        <v>0</v>
      </c>
      <c r="W79" s="3"/>
      <c r="X79" s="7">
        <f t="shared" si="18"/>
        <v>0</v>
      </c>
      <c r="Y79" s="3"/>
      <c r="Z79" s="8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","6010"," - ","GRATUITY")</f>
        <v xml:space="preserve">          6010 - GRATUITY</v>
      </c>
      <c r="C80" s="12"/>
      <c r="D80" s="7"/>
      <c r="E80" s="3"/>
      <c r="F80" s="8">
        <f t="shared" si="12"/>
        <v>0</v>
      </c>
      <c r="G80" s="3"/>
      <c r="H80" s="7">
        <v>0</v>
      </c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0</v>
      </c>
      <c r="U80" s="3"/>
      <c r="V80" s="8">
        <f t="shared" si="17"/>
        <v>0</v>
      </c>
      <c r="W80" s="3"/>
      <c r="X80" s="7">
        <f t="shared" si="18"/>
        <v>0</v>
      </c>
      <c r="Y80" s="3"/>
      <c r="Z80" s="8">
        <f t="shared" si="19"/>
        <v>0</v>
      </c>
    </row>
    <row r="81" spans="1:26" s="69" customFormat="1" ht="15" customHeight="1" outlineLevel="1" collapsed="1" x14ac:dyDescent="0.3">
      <c r="A81" s="25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3210.66</v>
      </c>
      <c r="E81" s="2"/>
      <c r="F81" s="6">
        <f t="shared" si="12"/>
        <v>3.2864612426227202E-3</v>
      </c>
      <c r="G81" s="2"/>
      <c r="H81" s="2">
        <f>SUM(OSRRefH22_2x_0)</f>
        <v>300</v>
      </c>
      <c r="I81" s="2"/>
      <c r="J81" s="6">
        <f t="shared" si="13"/>
        <v>6.8615185455410421E-4</v>
      </c>
      <c r="K81" s="2"/>
      <c r="L81" s="2">
        <f t="shared" si="14"/>
        <v>2910.66</v>
      </c>
      <c r="M81" s="2"/>
      <c r="N81" s="6">
        <f t="shared" si="15"/>
        <v>9.7021999999999995</v>
      </c>
      <c r="O81" s="14"/>
      <c r="P81" s="2">
        <f>SUM(OSRRefP22_2x_0)</f>
        <v>12835.45</v>
      </c>
      <c r="Q81" s="2"/>
      <c r="R81" s="6">
        <f t="shared" si="16"/>
        <v>1.81465740497622E-3</v>
      </c>
      <c r="S81" s="2"/>
      <c r="T81" s="2">
        <f>SUM(OSRRefT22_2x_0)</f>
        <v>6400</v>
      </c>
      <c r="U81" s="2"/>
      <c r="V81" s="6">
        <f t="shared" si="17"/>
        <v>7.3803827351167956E-4</v>
      </c>
      <c r="W81" s="2"/>
      <c r="X81" s="2">
        <f t="shared" si="18"/>
        <v>6435.4500000000007</v>
      </c>
      <c r="Y81" s="2"/>
      <c r="Z81" s="6">
        <f t="shared" si="19"/>
        <v>1.0055390625</v>
      </c>
    </row>
    <row r="82" spans="1:26" s="70" customFormat="1" ht="15" hidden="1" customHeight="1" outlineLevel="2" x14ac:dyDescent="0.3">
      <c r="A82" s="26"/>
      <c r="B82" s="12" t="str">
        <f>CONCATENATE("          ","6362"," - ","ADVERTISING EXPENSE")</f>
        <v xml:space="preserve">          6362 - ADVERTISING EXPENSE</v>
      </c>
      <c r="C82" s="12"/>
      <c r="D82" s="7">
        <v>3210.66</v>
      </c>
      <c r="E82" s="3"/>
      <c r="F82" s="8">
        <f t="shared" si="12"/>
        <v>3.2864612426227202E-3</v>
      </c>
      <c r="G82" s="3"/>
      <c r="H82" s="7">
        <v>300</v>
      </c>
      <c r="I82" s="3"/>
      <c r="J82" s="8">
        <f t="shared" si="13"/>
        <v>6.8615185455410421E-4</v>
      </c>
      <c r="K82" s="3"/>
      <c r="L82" s="7">
        <f t="shared" si="14"/>
        <v>2910.66</v>
      </c>
      <c r="M82" s="3"/>
      <c r="N82" s="8">
        <f t="shared" si="15"/>
        <v>9.7021999999999995</v>
      </c>
      <c r="O82" s="12"/>
      <c r="P82" s="7">
        <v>12835.45</v>
      </c>
      <c r="Q82" s="3"/>
      <c r="R82" s="8">
        <f t="shared" si="16"/>
        <v>1.81465740497622E-3</v>
      </c>
      <c r="S82" s="3"/>
      <c r="T82" s="7">
        <v>6400</v>
      </c>
      <c r="U82" s="3"/>
      <c r="V82" s="8">
        <f t="shared" si="17"/>
        <v>7.3803827351167956E-4</v>
      </c>
      <c r="W82" s="3"/>
      <c r="X82" s="7">
        <f t="shared" si="18"/>
        <v>6435.4500000000007</v>
      </c>
      <c r="Y82" s="3"/>
      <c r="Z82" s="8">
        <f t="shared" si="19"/>
        <v>1.0055390625</v>
      </c>
    </row>
    <row r="83" spans="1:26" s="69" customFormat="1" ht="15" customHeight="1" outlineLevel="1" collapsed="1" x14ac:dyDescent="0.3">
      <c r="A83" s="25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-45.88</v>
      </c>
      <c r="E83" s="2"/>
      <c r="F83" s="6">
        <f t="shared" si="12"/>
        <v>-4.6963191932976522E-5</v>
      </c>
      <c r="G83" s="2"/>
      <c r="H83" s="2">
        <f>SUM(OSRRefH22_3x_0)</f>
        <v>235</v>
      </c>
      <c r="I83" s="2"/>
      <c r="J83" s="6">
        <f t="shared" si="13"/>
        <v>5.3748561940071494E-4</v>
      </c>
      <c r="K83" s="2"/>
      <c r="L83" s="2">
        <f t="shared" si="14"/>
        <v>-280.88</v>
      </c>
      <c r="M83" s="2"/>
      <c r="N83" s="6">
        <f t="shared" si="15"/>
        <v>-1.1952340425531915</v>
      </c>
      <c r="O83" s="14"/>
      <c r="P83" s="2">
        <f>SUM(OSRRefP22_3x_0)</f>
        <v>15.53</v>
      </c>
      <c r="Q83" s="2"/>
      <c r="R83" s="6">
        <f t="shared" si="16"/>
        <v>2.1956089969016041E-6</v>
      </c>
      <c r="S83" s="2"/>
      <c r="T83" s="2">
        <f>SUM(OSRRefT22_3x_0)</f>
        <v>2350</v>
      </c>
      <c r="U83" s="2"/>
      <c r="V83" s="6">
        <f t="shared" si="17"/>
        <v>2.7099842855506985E-4</v>
      </c>
      <c r="W83" s="2"/>
      <c r="X83" s="2">
        <f t="shared" si="18"/>
        <v>-2334.4699999999998</v>
      </c>
      <c r="Y83" s="2"/>
      <c r="Z83" s="6">
        <f t="shared" si="19"/>
        <v>-0.99339148936170207</v>
      </c>
    </row>
    <row r="84" spans="1:26" s="70" customFormat="1" ht="15" hidden="1" customHeight="1" outlineLevel="2" x14ac:dyDescent="0.3">
      <c r="A84" s="26"/>
      <c r="B84" s="12" t="str">
        <f>CONCATENATE("          ","6272"," - ","CASH (OVER/SHORT)")</f>
        <v xml:space="preserve">          6272 - CASH (OVER/SHORT)</v>
      </c>
      <c r="C84" s="12"/>
      <c r="D84" s="7">
        <v>-45.88</v>
      </c>
      <c r="E84" s="3"/>
      <c r="F84" s="8">
        <f t="shared" si="12"/>
        <v>-4.6963191932976522E-5</v>
      </c>
      <c r="G84" s="3"/>
      <c r="H84" s="7">
        <v>235</v>
      </c>
      <c r="I84" s="3"/>
      <c r="J84" s="8">
        <f t="shared" si="13"/>
        <v>5.3748561940071494E-4</v>
      </c>
      <c r="K84" s="3"/>
      <c r="L84" s="7">
        <f t="shared" si="14"/>
        <v>-280.88</v>
      </c>
      <c r="M84" s="3"/>
      <c r="N84" s="8">
        <f t="shared" si="15"/>
        <v>-1.1952340425531915</v>
      </c>
      <c r="O84" s="12"/>
      <c r="P84" s="7">
        <v>15.53</v>
      </c>
      <c r="Q84" s="3"/>
      <c r="R84" s="8">
        <f t="shared" si="16"/>
        <v>2.1956089969016041E-6</v>
      </c>
      <c r="S84" s="3"/>
      <c r="T84" s="7">
        <v>2350</v>
      </c>
      <c r="U84" s="3"/>
      <c r="V84" s="8">
        <f t="shared" si="17"/>
        <v>2.7099842855506985E-4</v>
      </c>
      <c r="W84" s="3"/>
      <c r="X84" s="7">
        <f t="shared" si="18"/>
        <v>-2334.4699999999998</v>
      </c>
      <c r="Y84" s="3"/>
      <c r="Z84" s="8">
        <f t="shared" si="19"/>
        <v>-0.99339148936170207</v>
      </c>
    </row>
    <row r="85" spans="1:26" s="69" customFormat="1" ht="15" customHeight="1" outlineLevel="1" collapsed="1" x14ac:dyDescent="0.3">
      <c r="A85" s="25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21124.28</v>
      </c>
      <c r="E85" s="2"/>
      <c r="F85" s="6">
        <f t="shared" si="12"/>
        <v>2.1623008197165151E-2</v>
      </c>
      <c r="G85" s="2"/>
      <c r="H85" s="2">
        <f>SUM(OSRRefH22_4x_0)</f>
        <v>13931.25</v>
      </c>
      <c r="I85" s="2"/>
      <c r="J85" s="6">
        <f t="shared" si="13"/>
        <v>3.1863176745856217E-2</v>
      </c>
      <c r="K85" s="2"/>
      <c r="L85" s="2">
        <f t="shared" si="14"/>
        <v>7193.0299999999988</v>
      </c>
      <c r="M85" s="2"/>
      <c r="N85" s="6">
        <f t="shared" si="15"/>
        <v>0.51632337371018389</v>
      </c>
      <c r="O85" s="14"/>
      <c r="P85" s="2">
        <f>SUM(OSRRefP22_4x_0)</f>
        <v>146450.32999999999</v>
      </c>
      <c r="Q85" s="2"/>
      <c r="R85" s="6">
        <f t="shared" si="16"/>
        <v>2.0704936390676682E-2</v>
      </c>
      <c r="S85" s="2"/>
      <c r="T85" s="2">
        <f>SUM(OSRRefT22_4x_0)</f>
        <v>184516.75</v>
      </c>
      <c r="U85" s="2"/>
      <c r="V85" s="6">
        <f t="shared" si="17"/>
        <v>2.1278191188122842E-2</v>
      </c>
      <c r="W85" s="2"/>
      <c r="X85" s="2">
        <f t="shared" si="18"/>
        <v>-38066.420000000013</v>
      </c>
      <c r="Y85" s="2"/>
      <c r="Z85" s="6">
        <f t="shared" si="19"/>
        <v>-0.20630333018547103</v>
      </c>
    </row>
    <row r="86" spans="1:26" s="70" customFormat="1" ht="15" hidden="1" customHeight="1" outlineLevel="2" x14ac:dyDescent="0.3">
      <c r="A86" s="26"/>
      <c r="B86" s="12" t="str">
        <f>CONCATENATE("          ","6381"," - ","BANK/CREDIT CARD FEES")</f>
        <v xml:space="preserve">          6381 - BANK/CREDIT CARD FEES</v>
      </c>
      <c r="C86" s="12"/>
      <c r="D86" s="7">
        <v>21124.28</v>
      </c>
      <c r="E86" s="3"/>
      <c r="F86" s="8">
        <f t="shared" si="12"/>
        <v>2.1623008197165151E-2</v>
      </c>
      <c r="G86" s="3"/>
      <c r="H86" s="7">
        <v>13931.25</v>
      </c>
      <c r="I86" s="3"/>
      <c r="J86" s="8">
        <f t="shared" si="13"/>
        <v>3.1863176745856217E-2</v>
      </c>
      <c r="K86" s="3"/>
      <c r="L86" s="7">
        <f t="shared" si="14"/>
        <v>7193.0299999999988</v>
      </c>
      <c r="M86" s="3"/>
      <c r="N86" s="8">
        <f t="shared" si="15"/>
        <v>0.51632337371018389</v>
      </c>
      <c r="O86" s="12"/>
      <c r="P86" s="7">
        <v>146450.32999999999</v>
      </c>
      <c r="Q86" s="3"/>
      <c r="R86" s="8">
        <f t="shared" si="16"/>
        <v>2.0704936390676682E-2</v>
      </c>
      <c r="S86" s="3"/>
      <c r="T86" s="7">
        <v>184516.75</v>
      </c>
      <c r="U86" s="3"/>
      <c r="V86" s="8">
        <f t="shared" si="17"/>
        <v>2.1278191188122842E-2</v>
      </c>
      <c r="W86" s="3"/>
      <c r="X86" s="7">
        <f t="shared" si="18"/>
        <v>-38066.420000000013</v>
      </c>
      <c r="Y86" s="3"/>
      <c r="Z86" s="8">
        <f t="shared" si="19"/>
        <v>-0.20630333018547103</v>
      </c>
    </row>
    <row r="87" spans="1:26" s="69" customFormat="1" ht="15" customHeight="1" outlineLevel="1" collapsed="1" x14ac:dyDescent="0.3">
      <c r="A87" s="25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22704.800000000003</v>
      </c>
      <c r="E87" s="2"/>
      <c r="F87" s="6">
        <f t="shared" si="12"/>
        <v>2.3240843073231158E-2</v>
      </c>
      <c r="G87" s="2"/>
      <c r="H87" s="2">
        <f>SUM(OSRRefH22_5x_0)</f>
        <v>22583</v>
      </c>
      <c r="I87" s="2"/>
      <c r="J87" s="6">
        <f t="shared" si="13"/>
        <v>5.165122443798445E-2</v>
      </c>
      <c r="K87" s="2"/>
      <c r="L87" s="2">
        <f t="shared" si="14"/>
        <v>121.80000000000291</v>
      </c>
      <c r="M87" s="2"/>
      <c r="N87" s="6">
        <f t="shared" si="15"/>
        <v>5.3934375415136569E-3</v>
      </c>
      <c r="O87" s="14"/>
      <c r="P87" s="2">
        <f>SUM(OSRRefP22_5x_0)</f>
        <v>349496.48</v>
      </c>
      <c r="Q87" s="2"/>
      <c r="R87" s="6">
        <f t="shared" si="16"/>
        <v>4.9411308169571254E-2</v>
      </c>
      <c r="S87" s="2"/>
      <c r="T87" s="2">
        <f>SUM(OSRRefT22_5x_0)</f>
        <v>348277</v>
      </c>
      <c r="U87" s="2"/>
      <c r="V87" s="6">
        <f t="shared" si="17"/>
        <v>4.0162774341223E-2</v>
      </c>
      <c r="W87" s="2"/>
      <c r="X87" s="2">
        <f t="shared" si="18"/>
        <v>1219.4799999999814</v>
      </c>
      <c r="Y87" s="2"/>
      <c r="Z87" s="6">
        <f t="shared" si="19"/>
        <v>3.5014657872899486E-3</v>
      </c>
    </row>
    <row r="88" spans="1:26" s="70" customFormat="1" ht="15" hidden="1" customHeight="1" outlineLevel="2" x14ac:dyDescent="0.3">
      <c r="A88" s="26"/>
      <c r="B88" s="12" t="str">
        <f>CONCATENATE("          ","6321"," - ","BUILDING DEPRECIATION")</f>
        <v xml:space="preserve">          6321 - BUILDING DEPRECIATION</v>
      </c>
      <c r="C88" s="12"/>
      <c r="D88" s="7">
        <v>18402.22</v>
      </c>
      <c r="E88" s="3"/>
      <c r="F88" s="8">
        <f t="shared" si="12"/>
        <v>1.8836682429225354E-2</v>
      </c>
      <c r="G88" s="3"/>
      <c r="H88" s="7"/>
      <c r="I88" s="3"/>
      <c r="J88" s="8">
        <f t="shared" si="13"/>
        <v>0</v>
      </c>
      <c r="K88" s="3"/>
      <c r="L88" s="7">
        <f t="shared" si="14"/>
        <v>18402.22</v>
      </c>
      <c r="M88" s="3"/>
      <c r="N88" s="8">
        <f t="shared" si="15"/>
        <v>0</v>
      </c>
      <c r="O88" s="12"/>
      <c r="P88" s="7">
        <v>203280.94</v>
      </c>
      <c r="Q88" s="3"/>
      <c r="R88" s="8">
        <f t="shared" si="16"/>
        <v>2.8739566050393767E-2</v>
      </c>
      <c r="S88" s="3"/>
      <c r="T88" s="7"/>
      <c r="U88" s="3"/>
      <c r="V88" s="8">
        <f t="shared" si="17"/>
        <v>0</v>
      </c>
      <c r="W88" s="3"/>
      <c r="X88" s="7">
        <f t="shared" si="18"/>
        <v>203280.94</v>
      </c>
      <c r="Y88" s="3"/>
      <c r="Z88" s="8">
        <f t="shared" si="19"/>
        <v>0</v>
      </c>
    </row>
    <row r="89" spans="1:26" s="70" customFormat="1" ht="15" hidden="1" customHeight="1" outlineLevel="2" x14ac:dyDescent="0.3">
      <c r="A89" s="26"/>
      <c r="B89" s="12" t="str">
        <f>CONCATENATE("          ","6322"," - ","EQUIPMENT DEPRECIATION EXPENSE")</f>
        <v xml:space="preserve">          6322 - EQUIPMENT DEPRECIATION EXPENSE</v>
      </c>
      <c r="C89" s="12"/>
      <c r="D89" s="7">
        <v>4302.58</v>
      </c>
      <c r="E89" s="3"/>
      <c r="F89" s="8">
        <f t="shared" si="12"/>
        <v>4.4041606440057999E-3</v>
      </c>
      <c r="G89" s="3"/>
      <c r="H89" s="7">
        <v>22583</v>
      </c>
      <c r="I89" s="3"/>
      <c r="J89" s="8">
        <f t="shared" si="13"/>
        <v>5.165122443798445E-2</v>
      </c>
      <c r="K89" s="3"/>
      <c r="L89" s="7">
        <f t="shared" si="14"/>
        <v>-18280.419999999998</v>
      </c>
      <c r="M89" s="3"/>
      <c r="N89" s="8">
        <f t="shared" si="15"/>
        <v>-0.80947704025151657</v>
      </c>
      <c r="O89" s="12"/>
      <c r="P89" s="7">
        <v>146215.54</v>
      </c>
      <c r="Q89" s="3"/>
      <c r="R89" s="8">
        <f t="shared" si="16"/>
        <v>2.0671742119177491E-2</v>
      </c>
      <c r="S89" s="3"/>
      <c r="T89" s="7">
        <v>348277</v>
      </c>
      <c r="U89" s="3"/>
      <c r="V89" s="8">
        <f t="shared" si="17"/>
        <v>4.0162774341223E-2</v>
      </c>
      <c r="W89" s="3"/>
      <c r="X89" s="7">
        <f t="shared" si="18"/>
        <v>-202061.46</v>
      </c>
      <c r="Y89" s="3"/>
      <c r="Z89" s="8">
        <f t="shared" si="19"/>
        <v>-0.5801745736870364</v>
      </c>
    </row>
    <row r="90" spans="1:26" s="69" customFormat="1" ht="15" customHeight="1" outlineLevel="1" collapsed="1" x14ac:dyDescent="0.3">
      <c r="A90" s="25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-50.18</v>
      </c>
      <c r="E90" s="2"/>
      <c r="F90" s="6">
        <f t="shared" ref="F90:F121" si="20">IF(D$12=0,0,D90/D$12)</f>
        <v>-5.136471166514302E-5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-50.18</v>
      </c>
      <c r="M90" s="2"/>
      <c r="N90" s="6">
        <f t="shared" ref="N90:N121" si="23">IF(H90=0,0,L90/H90)</f>
        <v>0</v>
      </c>
      <c r="O90" s="14"/>
      <c r="P90" s="2">
        <f>SUM(OSRRefP22_6x_0)</f>
        <v>2006.6499999999999</v>
      </c>
      <c r="Q90" s="2"/>
      <c r="R90" s="6">
        <f t="shared" ref="R90:R121" si="24">IF(P$12=0,0,P90/P$12)</f>
        <v>2.8369728226868024E-4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2006.6499999999999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3">
      <c r="A91" s="26"/>
      <c r="B91" s="12" t="str">
        <f>CONCATENATE("          ","6382"," - ","DISCOUNTS/MARK DOWNS")</f>
        <v xml:space="preserve">          6382 - DISCOUNTS/MARK DOWNS</v>
      </c>
      <c r="C91" s="12"/>
      <c r="D91" s="7"/>
      <c r="E91" s="3"/>
      <c r="F91" s="8">
        <f t="shared" si="20"/>
        <v>0</v>
      </c>
      <c r="G91" s="3"/>
      <c r="H91" s="7"/>
      <c r="I91" s="3"/>
      <c r="J91" s="8">
        <f t="shared" si="21"/>
        <v>0</v>
      </c>
      <c r="K91" s="3"/>
      <c r="L91" s="7">
        <f t="shared" si="22"/>
        <v>0</v>
      </c>
      <c r="M91" s="3"/>
      <c r="N91" s="8">
        <f t="shared" si="23"/>
        <v>0</v>
      </c>
      <c r="O91" s="12"/>
      <c r="P91" s="7">
        <v>2171.35</v>
      </c>
      <c r="Q91" s="3"/>
      <c r="R91" s="8">
        <f t="shared" si="24"/>
        <v>3.0698233067754657E-4</v>
      </c>
      <c r="S91" s="3"/>
      <c r="T91" s="7">
        <v>0</v>
      </c>
      <c r="U91" s="3"/>
      <c r="V91" s="8">
        <f t="shared" si="25"/>
        <v>0</v>
      </c>
      <c r="W91" s="3"/>
      <c r="X91" s="7">
        <f t="shared" si="26"/>
        <v>2171.35</v>
      </c>
      <c r="Y91" s="3"/>
      <c r="Z91" s="8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","9175"," - ","EARNED DISCOUNTS")</f>
        <v xml:space="preserve">          9175 - EARNED DISCOUNTS</v>
      </c>
      <c r="C92" s="12"/>
      <c r="D92" s="7">
        <v>-50.18</v>
      </c>
      <c r="E92" s="3"/>
      <c r="F92" s="8">
        <f t="shared" si="20"/>
        <v>-5.136471166514302E-5</v>
      </c>
      <c r="G92" s="3"/>
      <c r="H92" s="7"/>
      <c r="I92" s="3"/>
      <c r="J92" s="8">
        <f t="shared" si="21"/>
        <v>0</v>
      </c>
      <c r="K92" s="3"/>
      <c r="L92" s="7">
        <f t="shared" si="22"/>
        <v>-50.18</v>
      </c>
      <c r="M92" s="3"/>
      <c r="N92" s="8">
        <f t="shared" si="23"/>
        <v>0</v>
      </c>
      <c r="O92" s="12"/>
      <c r="P92" s="7">
        <v>-164.7</v>
      </c>
      <c r="Q92" s="3"/>
      <c r="R92" s="8">
        <f t="shared" si="24"/>
        <v>-2.3285048408866337E-5</v>
      </c>
      <c r="S92" s="3"/>
      <c r="T92" s="7"/>
      <c r="U92" s="3"/>
      <c r="V92" s="8">
        <f t="shared" si="25"/>
        <v>0</v>
      </c>
      <c r="W92" s="3"/>
      <c r="X92" s="7">
        <f t="shared" si="26"/>
        <v>-164.7</v>
      </c>
      <c r="Y92" s="3"/>
      <c r="Z92" s="8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1488.53</v>
      </c>
      <c r="E93" s="2"/>
      <c r="F93" s="6">
        <f t="shared" si="20"/>
        <v>1.5236730620748374E-3</v>
      </c>
      <c r="G93" s="2"/>
      <c r="H93" s="2">
        <f>SUM(OSRRefH22_7x_0)</f>
        <v>1250</v>
      </c>
      <c r="I93" s="2"/>
      <c r="J93" s="6">
        <f t="shared" si="21"/>
        <v>2.8589660606421008E-3</v>
      </c>
      <c r="K93" s="2"/>
      <c r="L93" s="2">
        <f t="shared" si="22"/>
        <v>238.52999999999997</v>
      </c>
      <c r="M93" s="2"/>
      <c r="N93" s="6">
        <f t="shared" si="23"/>
        <v>0.19082399999999997</v>
      </c>
      <c r="O93" s="14"/>
      <c r="P93" s="2">
        <f>SUM(OSRRefP22_7x_0)</f>
        <v>7306.8</v>
      </c>
      <c r="Q93" s="2"/>
      <c r="R93" s="6">
        <f t="shared" si="24"/>
        <v>1.0330248434359719E-3</v>
      </c>
      <c r="S93" s="2"/>
      <c r="T93" s="2">
        <f>SUM(OSRRefT22_7x_0)</f>
        <v>12500</v>
      </c>
      <c r="U93" s="2"/>
      <c r="V93" s="6">
        <f t="shared" si="25"/>
        <v>1.441481002952499E-3</v>
      </c>
      <c r="W93" s="2"/>
      <c r="X93" s="2">
        <f t="shared" si="26"/>
        <v>-5193.2</v>
      </c>
      <c r="Y93" s="2"/>
      <c r="Z93" s="6">
        <f t="shared" si="27"/>
        <v>-0.41545599999999999</v>
      </c>
    </row>
    <row r="94" spans="1:26" s="70" customFormat="1" ht="15" hidden="1" customHeight="1" outlineLevel="2" x14ac:dyDescent="0.3">
      <c r="A94" s="26"/>
      <c r="B94" s="12" t="str">
        <f>CONCATENATE("          ","6399"," - ","DONATION-ON CAMPUS")</f>
        <v xml:space="preserve">          6399 - DONATION-ON CAMPUS</v>
      </c>
      <c r="C94" s="12"/>
      <c r="D94" s="7">
        <v>1488.53</v>
      </c>
      <c r="E94" s="3"/>
      <c r="F94" s="8">
        <f t="shared" si="20"/>
        <v>1.5236730620748374E-3</v>
      </c>
      <c r="G94" s="3"/>
      <c r="H94" s="7">
        <v>1250</v>
      </c>
      <c r="I94" s="3"/>
      <c r="J94" s="8">
        <f t="shared" si="21"/>
        <v>2.8589660606421008E-3</v>
      </c>
      <c r="K94" s="3"/>
      <c r="L94" s="7">
        <f t="shared" si="22"/>
        <v>238.52999999999997</v>
      </c>
      <c r="M94" s="3"/>
      <c r="N94" s="8">
        <f t="shared" si="23"/>
        <v>0.19082399999999997</v>
      </c>
      <c r="O94" s="12"/>
      <c r="P94" s="7">
        <v>7306.8</v>
      </c>
      <c r="Q94" s="3"/>
      <c r="R94" s="8">
        <f t="shared" si="24"/>
        <v>1.0330248434359719E-3</v>
      </c>
      <c r="S94" s="3"/>
      <c r="T94" s="7">
        <v>12500</v>
      </c>
      <c r="U94" s="3"/>
      <c r="V94" s="8">
        <f t="shared" si="25"/>
        <v>1.441481002952499E-3</v>
      </c>
      <c r="W94" s="3"/>
      <c r="X94" s="7">
        <f t="shared" si="26"/>
        <v>-5193.2</v>
      </c>
      <c r="Y94" s="3"/>
      <c r="Z94" s="8">
        <f t="shared" si="27"/>
        <v>-0.41545599999999999</v>
      </c>
    </row>
    <row r="95" spans="1:26" s="69" customFormat="1" ht="15" customHeight="1" outlineLevel="1" collapsed="1" x14ac:dyDescent="0.3">
      <c r="A95" s="25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0</v>
      </c>
      <c r="E95" s="2"/>
      <c r="F95" s="6">
        <f t="shared" si="20"/>
        <v>0</v>
      </c>
      <c r="G95" s="2"/>
      <c r="H95" s="2">
        <f>SUM(OSRRefH22_8x_0)</f>
        <v>225</v>
      </c>
      <c r="I95" s="2"/>
      <c r="J95" s="6">
        <f t="shared" si="21"/>
        <v>5.1461389091557821E-4</v>
      </c>
      <c r="K95" s="2"/>
      <c r="L95" s="2">
        <f t="shared" si="22"/>
        <v>-225</v>
      </c>
      <c r="M95" s="2"/>
      <c r="N95" s="6">
        <f t="shared" si="23"/>
        <v>-1</v>
      </c>
      <c r="O95" s="14"/>
      <c r="P95" s="2">
        <f>SUM(OSRRefP22_8x_0)</f>
        <v>4319.88</v>
      </c>
      <c r="Q95" s="2"/>
      <c r="R95" s="6">
        <f t="shared" si="24"/>
        <v>6.1073840267452046E-4</v>
      </c>
      <c r="S95" s="2"/>
      <c r="T95" s="2">
        <f>SUM(OSRRefT22_8x_0)</f>
        <v>2300</v>
      </c>
      <c r="U95" s="2"/>
      <c r="V95" s="6">
        <f t="shared" si="25"/>
        <v>2.6523250454325983E-4</v>
      </c>
      <c r="W95" s="2"/>
      <c r="X95" s="2">
        <f t="shared" si="26"/>
        <v>2019.88</v>
      </c>
      <c r="Y95" s="2"/>
      <c r="Z95" s="6">
        <f t="shared" si="27"/>
        <v>0.87820869565217397</v>
      </c>
    </row>
    <row r="96" spans="1:26" s="70" customFormat="1" ht="15" hidden="1" customHeight="1" outlineLevel="2" x14ac:dyDescent="0.3">
      <c r="A96" s="26"/>
      <c r="B96" s="12" t="str">
        <f>CONCATENATE("          ","6277"," - ","EMPLOYEE APPRECIATION")</f>
        <v xml:space="preserve">          6277 - EMPLOYEE APPRECIATION</v>
      </c>
      <c r="C96" s="12"/>
      <c r="D96" s="7"/>
      <c r="E96" s="3"/>
      <c r="F96" s="8">
        <f t="shared" si="20"/>
        <v>0</v>
      </c>
      <c r="G96" s="3"/>
      <c r="H96" s="7">
        <v>225</v>
      </c>
      <c r="I96" s="3"/>
      <c r="J96" s="8">
        <f t="shared" si="21"/>
        <v>5.1461389091557821E-4</v>
      </c>
      <c r="K96" s="3"/>
      <c r="L96" s="7">
        <f t="shared" si="22"/>
        <v>-225</v>
      </c>
      <c r="M96" s="3"/>
      <c r="N96" s="8">
        <f t="shared" si="23"/>
        <v>-1</v>
      </c>
      <c r="O96" s="12"/>
      <c r="P96" s="7">
        <v>4319.88</v>
      </c>
      <c r="Q96" s="3"/>
      <c r="R96" s="8">
        <f t="shared" si="24"/>
        <v>6.1073840267452046E-4</v>
      </c>
      <c r="S96" s="3"/>
      <c r="T96" s="7">
        <v>2300</v>
      </c>
      <c r="U96" s="3"/>
      <c r="V96" s="8">
        <f t="shared" si="25"/>
        <v>2.6523250454325983E-4</v>
      </c>
      <c r="W96" s="3"/>
      <c r="X96" s="7">
        <f t="shared" si="26"/>
        <v>2019.88</v>
      </c>
      <c r="Y96" s="3"/>
      <c r="Z96" s="8">
        <f t="shared" si="27"/>
        <v>0.87820869565217397</v>
      </c>
    </row>
    <row r="97" spans="1:26" s="69" customFormat="1" ht="15" customHeight="1" outlineLevel="1" collapsed="1" x14ac:dyDescent="0.3">
      <c r="A97" s="25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1388.16</v>
      </c>
      <c r="E97" s="2"/>
      <c r="F97" s="6">
        <f t="shared" si="20"/>
        <v>1.4209334026521511E-3</v>
      </c>
      <c r="G97" s="2"/>
      <c r="H97" s="2">
        <f>SUM(OSRRefH22_9x_0)</f>
        <v>1876</v>
      </c>
      <c r="I97" s="2"/>
      <c r="J97" s="6">
        <f t="shared" si="21"/>
        <v>4.2907362638116651E-3</v>
      </c>
      <c r="K97" s="2"/>
      <c r="L97" s="2">
        <f t="shared" si="22"/>
        <v>-487.83999999999992</v>
      </c>
      <c r="M97" s="2"/>
      <c r="N97" s="6">
        <f t="shared" si="23"/>
        <v>-0.26004264392324089</v>
      </c>
      <c r="O97" s="14"/>
      <c r="P97" s="2">
        <f>SUM(OSRRefP22_9x_0)</f>
        <v>15828.31</v>
      </c>
      <c r="Q97" s="2"/>
      <c r="R97" s="6">
        <f t="shared" si="24"/>
        <v>2.2377836343688107E-3</v>
      </c>
      <c r="S97" s="2"/>
      <c r="T97" s="2">
        <f>SUM(OSRRefT22_9x_0)</f>
        <v>18560</v>
      </c>
      <c r="U97" s="2"/>
      <c r="V97" s="6">
        <f t="shared" si="25"/>
        <v>2.1403109931838705E-3</v>
      </c>
      <c r="W97" s="2"/>
      <c r="X97" s="2">
        <f t="shared" si="26"/>
        <v>-2731.6900000000005</v>
      </c>
      <c r="Y97" s="2"/>
      <c r="Z97" s="6">
        <f t="shared" si="27"/>
        <v>-0.14718157327586209</v>
      </c>
    </row>
    <row r="98" spans="1:26" s="70" customFormat="1" ht="15" hidden="1" customHeight="1" outlineLevel="2" x14ac:dyDescent="0.3">
      <c r="A98" s="26"/>
      <c r="B98" s="12" t="str">
        <f>CONCATENATE("          ","6351"," - ","EQUIPMENT RENTAL")</f>
        <v xml:space="preserve">          6351 - EQUIPMENT RENTAL</v>
      </c>
      <c r="C98" s="12"/>
      <c r="D98" s="7">
        <v>1388.16</v>
      </c>
      <c r="E98" s="3"/>
      <c r="F98" s="8">
        <f t="shared" si="20"/>
        <v>1.4209334026521511E-3</v>
      </c>
      <c r="G98" s="3"/>
      <c r="H98" s="7">
        <v>1876</v>
      </c>
      <c r="I98" s="3"/>
      <c r="J98" s="8">
        <f t="shared" si="21"/>
        <v>4.2907362638116651E-3</v>
      </c>
      <c r="K98" s="3"/>
      <c r="L98" s="7">
        <f t="shared" si="22"/>
        <v>-487.83999999999992</v>
      </c>
      <c r="M98" s="3"/>
      <c r="N98" s="8">
        <f t="shared" si="23"/>
        <v>-0.26004264392324089</v>
      </c>
      <c r="O98" s="12"/>
      <c r="P98" s="7">
        <v>15828.31</v>
      </c>
      <c r="Q98" s="3"/>
      <c r="R98" s="8">
        <f t="shared" si="24"/>
        <v>2.2377836343688107E-3</v>
      </c>
      <c r="S98" s="3"/>
      <c r="T98" s="7">
        <v>18560</v>
      </c>
      <c r="U98" s="3"/>
      <c r="V98" s="8">
        <f t="shared" si="25"/>
        <v>2.1403109931838705E-3</v>
      </c>
      <c r="W98" s="3"/>
      <c r="X98" s="7">
        <f t="shared" si="26"/>
        <v>-2731.6900000000005</v>
      </c>
      <c r="Y98" s="3"/>
      <c r="Z98" s="8">
        <f t="shared" si="27"/>
        <v>-0.14718157327586209</v>
      </c>
    </row>
    <row r="99" spans="1:26" s="69" customFormat="1" ht="15" customHeight="1" outlineLevel="1" collapsed="1" x14ac:dyDescent="0.3">
      <c r="A99" s="25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750.14999999999964</v>
      </c>
      <c r="E99" s="2"/>
      <c r="F99" s="6">
        <f t="shared" si="20"/>
        <v>7.678604714150462E-4</v>
      </c>
      <c r="G99" s="2"/>
      <c r="H99" s="2">
        <f>SUM(OSRRefH22_10x_0)</f>
        <v>-550</v>
      </c>
      <c r="I99" s="2"/>
      <c r="J99" s="6">
        <f t="shared" si="21"/>
        <v>-1.2579450666825244E-3</v>
      </c>
      <c r="K99" s="2"/>
      <c r="L99" s="2">
        <f t="shared" si="22"/>
        <v>1300.1499999999996</v>
      </c>
      <c r="M99" s="2"/>
      <c r="N99" s="6">
        <f t="shared" si="23"/>
        <v>-2.3639090909090901</v>
      </c>
      <c r="O99" s="14"/>
      <c r="P99" s="2">
        <f>SUM(OSRRefP22_10x_0)</f>
        <v>-43978.59</v>
      </c>
      <c r="Q99" s="2"/>
      <c r="R99" s="6">
        <f t="shared" si="24"/>
        <v>-6.2176296120442318E-3</v>
      </c>
      <c r="S99" s="2"/>
      <c r="T99" s="2">
        <f>SUM(OSRRefT22_10x_0)</f>
        <v>-12200</v>
      </c>
      <c r="U99" s="2"/>
      <c r="V99" s="6">
        <f t="shared" si="25"/>
        <v>-1.4068854588816391E-3</v>
      </c>
      <c r="W99" s="2"/>
      <c r="X99" s="2">
        <f t="shared" si="26"/>
        <v>-31778.589999999997</v>
      </c>
      <c r="Y99" s="2"/>
      <c r="Z99" s="6">
        <f t="shared" si="27"/>
        <v>2.6048024590163932</v>
      </c>
    </row>
    <row r="100" spans="1:26" s="70" customFormat="1" ht="15" hidden="1" customHeight="1" outlineLevel="2" x14ac:dyDescent="0.3">
      <c r="A100" s="26"/>
      <c r="B100" s="12" t="str">
        <f>CONCATENATE("          ","6305"," - ","FREIGHT OUT")</f>
        <v xml:space="preserve">          6305 - FREIGHT OUT</v>
      </c>
      <c r="C100" s="12"/>
      <c r="D100" s="7">
        <v>14219.32</v>
      </c>
      <c r="E100" s="3"/>
      <c r="F100" s="8">
        <f t="shared" si="20"/>
        <v>1.4555027339067387E-2</v>
      </c>
      <c r="G100" s="3"/>
      <c r="H100" s="7">
        <v>3850</v>
      </c>
      <c r="I100" s="3"/>
      <c r="J100" s="8">
        <f t="shared" si="21"/>
        <v>8.8056154667776713E-3</v>
      </c>
      <c r="K100" s="3"/>
      <c r="L100" s="7">
        <f t="shared" si="22"/>
        <v>10369.32</v>
      </c>
      <c r="M100" s="3"/>
      <c r="N100" s="8">
        <f t="shared" si="23"/>
        <v>2.6933298701298702</v>
      </c>
      <c r="O100" s="12"/>
      <c r="P100" s="7">
        <v>126337.18</v>
      </c>
      <c r="Q100" s="3"/>
      <c r="R100" s="8">
        <f t="shared" si="24"/>
        <v>1.7861368258285732E-2</v>
      </c>
      <c r="S100" s="3"/>
      <c r="T100" s="7">
        <v>152300</v>
      </c>
      <c r="U100" s="3"/>
      <c r="V100" s="8">
        <f t="shared" si="25"/>
        <v>1.7563004539973247E-2</v>
      </c>
      <c r="W100" s="3"/>
      <c r="X100" s="7">
        <f t="shared" si="26"/>
        <v>-25962.820000000007</v>
      </c>
      <c r="Y100" s="3"/>
      <c r="Z100" s="8">
        <f t="shared" si="27"/>
        <v>-0.17047156927117535</v>
      </c>
    </row>
    <row r="101" spans="1:26" s="70" customFormat="1" ht="15" hidden="1" customHeight="1" outlineLevel="2" x14ac:dyDescent="0.3">
      <c r="A101" s="26"/>
      <c r="B101" s="12" t="str">
        <f>CONCATENATE("          ","6307"," - ","POSTAGE")</f>
        <v xml:space="preserve">          6307 - POSTAGE</v>
      </c>
      <c r="C101" s="12"/>
      <c r="D101" s="7">
        <v>-13469.17</v>
      </c>
      <c r="E101" s="3"/>
      <c r="F101" s="8">
        <f t="shared" si="20"/>
        <v>-1.3787166867652341E-2</v>
      </c>
      <c r="G101" s="3"/>
      <c r="H101" s="7">
        <v>-4400</v>
      </c>
      <c r="I101" s="3"/>
      <c r="J101" s="8">
        <f t="shared" si="21"/>
        <v>-1.0063560533460195E-2</v>
      </c>
      <c r="K101" s="3"/>
      <c r="L101" s="7">
        <f t="shared" si="22"/>
        <v>-9069.17</v>
      </c>
      <c r="M101" s="3"/>
      <c r="N101" s="8">
        <f t="shared" si="23"/>
        <v>2.061175</v>
      </c>
      <c r="O101" s="12"/>
      <c r="P101" s="7">
        <v>-170315.77</v>
      </c>
      <c r="Q101" s="3"/>
      <c r="R101" s="8">
        <f t="shared" si="24"/>
        <v>-2.4078997870329962E-2</v>
      </c>
      <c r="S101" s="3"/>
      <c r="T101" s="7">
        <v>-164500</v>
      </c>
      <c r="U101" s="3"/>
      <c r="V101" s="8">
        <f t="shared" si="25"/>
        <v>-1.8969889998854888E-2</v>
      </c>
      <c r="W101" s="3"/>
      <c r="X101" s="7">
        <f t="shared" si="26"/>
        <v>-5815.7699999999895</v>
      </c>
      <c r="Y101" s="3"/>
      <c r="Z101" s="8">
        <f t="shared" si="27"/>
        <v>3.5354224924012093E-2</v>
      </c>
    </row>
    <row r="102" spans="1:26" s="69" customFormat="1" ht="15" customHeight="1" outlineLevel="1" collapsed="1" x14ac:dyDescent="0.3">
      <c r="A102" s="25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493.61</v>
      </c>
      <c r="E102" s="2"/>
      <c r="F102" s="6">
        <f t="shared" si="20"/>
        <v>5.0526375697551313E-4</v>
      </c>
      <c r="G102" s="2"/>
      <c r="H102" s="2">
        <f>SUM(OSRRefH22_11x_0)</f>
        <v>700</v>
      </c>
      <c r="I102" s="2"/>
      <c r="J102" s="6">
        <f t="shared" si="21"/>
        <v>1.6010209939595764E-3</v>
      </c>
      <c r="K102" s="2"/>
      <c r="L102" s="2">
        <f t="shared" si="22"/>
        <v>-206.39</v>
      </c>
      <c r="M102" s="2"/>
      <c r="N102" s="6">
        <f t="shared" si="23"/>
        <v>-0.29484285714285713</v>
      </c>
      <c r="O102" s="14"/>
      <c r="P102" s="2">
        <f>SUM(OSRRefP22_11x_0)</f>
        <v>10201.969999999999</v>
      </c>
      <c r="Q102" s="2"/>
      <c r="R102" s="6">
        <f t="shared" si="24"/>
        <v>1.4423398015531396E-3</v>
      </c>
      <c r="S102" s="2"/>
      <c r="T102" s="2">
        <f>SUM(OSRRefT22_11x_0)</f>
        <v>6460</v>
      </c>
      <c r="U102" s="2"/>
      <c r="V102" s="6">
        <f t="shared" si="25"/>
        <v>7.4495738232585151E-4</v>
      </c>
      <c r="W102" s="2"/>
      <c r="X102" s="2">
        <f t="shared" si="26"/>
        <v>3741.9699999999993</v>
      </c>
      <c r="Y102" s="2"/>
      <c r="Z102" s="6">
        <f t="shared" si="27"/>
        <v>0.57925232198142407</v>
      </c>
    </row>
    <row r="103" spans="1:26" s="70" customFormat="1" ht="15" hidden="1" customHeight="1" outlineLevel="2" x14ac:dyDescent="0.3">
      <c r="A103" s="26"/>
      <c r="B103" s="12" t="str">
        <f>CONCATENATE("          ","6276"," - ","PROPERTY TAX")</f>
        <v xml:space="preserve">          6276 - PROPERTY TAX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/>
      <c r="Q103" s="3"/>
      <c r="R103" s="8">
        <f t="shared" si="24"/>
        <v>0</v>
      </c>
      <c r="S103" s="3"/>
      <c r="T103" s="7">
        <v>1250</v>
      </c>
      <c r="U103" s="3"/>
      <c r="V103" s="8">
        <f t="shared" si="25"/>
        <v>1.4414810029524992E-4</v>
      </c>
      <c r="W103" s="3"/>
      <c r="X103" s="7">
        <f t="shared" si="26"/>
        <v>-1250</v>
      </c>
      <c r="Y103" s="3"/>
      <c r="Z103" s="8">
        <f t="shared" si="27"/>
        <v>-1</v>
      </c>
    </row>
    <row r="104" spans="1:26" s="70" customFormat="1" ht="15" hidden="1" customHeight="1" outlineLevel="2" x14ac:dyDescent="0.3">
      <c r="A104" s="26"/>
      <c r="B104" s="12" t="str">
        <f>CONCATENATE("          ","6279"," - ","GENERAL EXPENSE")</f>
        <v xml:space="preserve">          6279 - GENERAL EXPENSE</v>
      </c>
      <c r="C104" s="12"/>
      <c r="D104" s="7">
        <v>493.61</v>
      </c>
      <c r="E104" s="3"/>
      <c r="F104" s="8">
        <f t="shared" si="20"/>
        <v>5.0526375697551313E-4</v>
      </c>
      <c r="G104" s="3"/>
      <c r="H104" s="7">
        <v>700</v>
      </c>
      <c r="I104" s="3"/>
      <c r="J104" s="8">
        <f t="shared" si="21"/>
        <v>1.6010209939595764E-3</v>
      </c>
      <c r="K104" s="3"/>
      <c r="L104" s="7">
        <f t="shared" si="22"/>
        <v>-206.39</v>
      </c>
      <c r="M104" s="3"/>
      <c r="N104" s="8">
        <f t="shared" si="23"/>
        <v>-0.29484285714285713</v>
      </c>
      <c r="O104" s="12"/>
      <c r="P104" s="7">
        <v>10201.969999999999</v>
      </c>
      <c r="Q104" s="3"/>
      <c r="R104" s="8">
        <f t="shared" si="24"/>
        <v>1.4423398015531396E-3</v>
      </c>
      <c r="S104" s="3"/>
      <c r="T104" s="7">
        <v>5210</v>
      </c>
      <c r="U104" s="3"/>
      <c r="V104" s="8">
        <f t="shared" si="25"/>
        <v>6.0080928203060156E-4</v>
      </c>
      <c r="W104" s="3"/>
      <c r="X104" s="7">
        <f t="shared" si="26"/>
        <v>4991.9699999999993</v>
      </c>
      <c r="Y104" s="3"/>
      <c r="Z104" s="8">
        <f t="shared" si="27"/>
        <v>0.95815163147792692</v>
      </c>
    </row>
    <row r="105" spans="1:26" s="69" customFormat="1" ht="15" customHeight="1" outlineLevel="1" collapsed="1" x14ac:dyDescent="0.3">
      <c r="A105" s="25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5825.58</v>
      </c>
      <c r="E105" s="2"/>
      <c r="F105" s="6">
        <f t="shared" si="20"/>
        <v>5.9631175165847728E-3</v>
      </c>
      <c r="G105" s="2"/>
      <c r="H105" s="2">
        <f>SUM(OSRRefH22_12x_0)</f>
        <v>5705</v>
      </c>
      <c r="I105" s="2"/>
      <c r="J105" s="6">
        <f t="shared" si="21"/>
        <v>1.3048321100770548E-2</v>
      </c>
      <c r="K105" s="2"/>
      <c r="L105" s="2">
        <f t="shared" si="22"/>
        <v>120.57999999999993</v>
      </c>
      <c r="M105" s="2"/>
      <c r="N105" s="6">
        <f t="shared" si="23"/>
        <v>2.1135845749342668E-2</v>
      </c>
      <c r="O105" s="14"/>
      <c r="P105" s="2">
        <f>SUM(OSRRefP22_12x_0)</f>
        <v>58255.8</v>
      </c>
      <c r="Q105" s="2"/>
      <c r="R105" s="6">
        <f t="shared" si="24"/>
        <v>8.2361209659820023E-3</v>
      </c>
      <c r="S105" s="2"/>
      <c r="T105" s="2">
        <f>SUM(OSRRefT22_12x_0)</f>
        <v>57050</v>
      </c>
      <c r="U105" s="2"/>
      <c r="V105" s="6">
        <f t="shared" si="25"/>
        <v>6.5789192974752058E-3</v>
      </c>
      <c r="W105" s="2"/>
      <c r="X105" s="2">
        <f t="shared" si="26"/>
        <v>1205.8000000000029</v>
      </c>
      <c r="Y105" s="2"/>
      <c r="Z105" s="6">
        <f t="shared" si="27"/>
        <v>2.1135845749342734E-2</v>
      </c>
    </row>
    <row r="106" spans="1:26" s="70" customFormat="1" ht="15" hidden="1" customHeight="1" outlineLevel="2" x14ac:dyDescent="0.3">
      <c r="A106" s="26"/>
      <c r="B106" s="12" t="str">
        <f>CONCATENATE("          ","6314"," - ","LIABILITY INSURANCE")</f>
        <v xml:space="preserve">          6314 - LIABILITY INSURANCE</v>
      </c>
      <c r="C106" s="12"/>
      <c r="D106" s="7">
        <v>5825.58</v>
      </c>
      <c r="E106" s="3"/>
      <c r="F106" s="8">
        <f t="shared" si="20"/>
        <v>5.9631175165847728E-3</v>
      </c>
      <c r="G106" s="3"/>
      <c r="H106" s="7">
        <v>5705</v>
      </c>
      <c r="I106" s="3"/>
      <c r="J106" s="8">
        <f t="shared" si="21"/>
        <v>1.3048321100770548E-2</v>
      </c>
      <c r="K106" s="3"/>
      <c r="L106" s="7">
        <f t="shared" si="22"/>
        <v>120.57999999999993</v>
      </c>
      <c r="M106" s="3"/>
      <c r="N106" s="8">
        <f t="shared" si="23"/>
        <v>2.1135845749342668E-2</v>
      </c>
      <c r="O106" s="12"/>
      <c r="P106" s="7">
        <v>58255.8</v>
      </c>
      <c r="Q106" s="3"/>
      <c r="R106" s="8">
        <f t="shared" si="24"/>
        <v>8.2361209659820023E-3</v>
      </c>
      <c r="S106" s="3"/>
      <c r="T106" s="7">
        <v>57050</v>
      </c>
      <c r="U106" s="3"/>
      <c r="V106" s="8">
        <f t="shared" si="25"/>
        <v>6.5789192974752058E-3</v>
      </c>
      <c r="W106" s="3"/>
      <c r="X106" s="7">
        <f t="shared" si="26"/>
        <v>1205.8000000000029</v>
      </c>
      <c r="Y106" s="3"/>
      <c r="Z106" s="8">
        <f t="shared" si="27"/>
        <v>2.1135845749342734E-2</v>
      </c>
    </row>
    <row r="107" spans="1:26" s="69" customFormat="1" ht="15" customHeight="1" outlineLevel="1" collapsed="1" x14ac:dyDescent="0.3">
      <c r="A107" s="25"/>
      <c r="B107" s="14" t="str">
        <f>CONCATENATE("     ","Interest                                          ")</f>
        <v xml:space="preserve">     Interest                                          </v>
      </c>
      <c r="C107" s="14"/>
      <c r="D107" s="2">
        <f>SUM(OSRRefD22_13x_0)</f>
        <v>3031</v>
      </c>
      <c r="E107" s="2"/>
      <c r="F107" s="6">
        <f t="shared" si="20"/>
        <v>3.1025596065573633E-3</v>
      </c>
      <c r="G107" s="2"/>
      <c r="H107" s="2">
        <f>SUM(OSRRefH22_13x_0)</f>
        <v>3905</v>
      </c>
      <c r="I107" s="2"/>
      <c r="J107" s="6">
        <f t="shared" si="21"/>
        <v>8.9314099734459241E-3</v>
      </c>
      <c r="K107" s="2"/>
      <c r="L107" s="2">
        <f t="shared" si="22"/>
        <v>-874</v>
      </c>
      <c r="M107" s="2"/>
      <c r="N107" s="6">
        <f t="shared" si="23"/>
        <v>-0.2238156209987196</v>
      </c>
      <c r="O107" s="14"/>
      <c r="P107" s="2">
        <f>SUM(OSRRefP22_13x_0)</f>
        <v>37900</v>
      </c>
      <c r="Q107" s="2"/>
      <c r="R107" s="6">
        <f t="shared" si="24"/>
        <v>5.3582473266304441E-3</v>
      </c>
      <c r="S107" s="2"/>
      <c r="T107" s="2">
        <f>SUM(OSRRefT22_13x_0)</f>
        <v>39050</v>
      </c>
      <c r="U107" s="2"/>
      <c r="V107" s="6">
        <f t="shared" si="25"/>
        <v>4.5031866532236073E-3</v>
      </c>
      <c r="W107" s="2"/>
      <c r="X107" s="2">
        <f t="shared" si="26"/>
        <v>-1150</v>
      </c>
      <c r="Y107" s="2"/>
      <c r="Z107" s="6">
        <f t="shared" si="27"/>
        <v>-2.9449423815621E-2</v>
      </c>
    </row>
    <row r="108" spans="1:26" s="70" customFormat="1" ht="15" hidden="1" customHeight="1" outlineLevel="2" x14ac:dyDescent="0.3">
      <c r="A108" s="26"/>
      <c r="B108" s="12" t="str">
        <f>CONCATENATE("          ","6401"," - ","INTEREST EXPENSE")</f>
        <v xml:space="preserve">          6401 - INTEREST EXPENSE</v>
      </c>
      <c r="C108" s="12"/>
      <c r="D108" s="7">
        <v>3031</v>
      </c>
      <c r="E108" s="3"/>
      <c r="F108" s="8">
        <f t="shared" si="20"/>
        <v>3.1025596065573633E-3</v>
      </c>
      <c r="G108" s="3"/>
      <c r="H108" s="7">
        <v>3905</v>
      </c>
      <c r="I108" s="3"/>
      <c r="J108" s="8">
        <f t="shared" si="21"/>
        <v>8.9314099734459241E-3</v>
      </c>
      <c r="K108" s="3"/>
      <c r="L108" s="7">
        <f t="shared" si="22"/>
        <v>-874</v>
      </c>
      <c r="M108" s="3"/>
      <c r="N108" s="8">
        <f t="shared" si="23"/>
        <v>-0.2238156209987196</v>
      </c>
      <c r="O108" s="12"/>
      <c r="P108" s="7">
        <v>37900</v>
      </c>
      <c r="Q108" s="3"/>
      <c r="R108" s="8">
        <f t="shared" si="24"/>
        <v>5.3582473266304441E-3</v>
      </c>
      <c r="S108" s="3"/>
      <c r="T108" s="7">
        <v>39050</v>
      </c>
      <c r="U108" s="3"/>
      <c r="V108" s="8">
        <f t="shared" si="25"/>
        <v>4.5031866532236073E-3</v>
      </c>
      <c r="W108" s="3"/>
      <c r="X108" s="7">
        <f t="shared" si="26"/>
        <v>-1150</v>
      </c>
      <c r="Y108" s="3"/>
      <c r="Z108" s="8">
        <f t="shared" si="27"/>
        <v>-2.9449423815621E-2</v>
      </c>
    </row>
    <row r="109" spans="1:26" s="69" customFormat="1" ht="15" customHeight="1" outlineLevel="1" collapsed="1" x14ac:dyDescent="0.3">
      <c r="A109" s="25"/>
      <c r="B109" s="14" t="str">
        <f>CONCATENATE("     ","Inventory Adjustment                              ")</f>
        <v xml:space="preserve">     Inventory Adjustment                              </v>
      </c>
      <c r="C109" s="14"/>
      <c r="D109" s="2">
        <f>SUM(OSRRefD22_14x_0)</f>
        <v>5100</v>
      </c>
      <c r="E109" s="2"/>
      <c r="F109" s="6">
        <f t="shared" si="20"/>
        <v>5.2204071241974776E-3</v>
      </c>
      <c r="G109" s="2"/>
      <c r="H109" s="2">
        <f>SUM(OSRRefH22_14x_0)</f>
        <v>5100</v>
      </c>
      <c r="I109" s="2"/>
      <c r="J109" s="6">
        <f t="shared" si="21"/>
        <v>1.1664581527419771E-2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SUM(OSRRefP22_14x_0)</f>
        <v>55000</v>
      </c>
      <c r="Q109" s="2"/>
      <c r="R109" s="6">
        <f t="shared" si="24"/>
        <v>7.7758206586985342E-3</v>
      </c>
      <c r="S109" s="2"/>
      <c r="T109" s="2">
        <f>SUM(OSRRefT22_14x_0)</f>
        <v>55000</v>
      </c>
      <c r="U109" s="2"/>
      <c r="V109" s="6">
        <f t="shared" si="25"/>
        <v>6.3425164129909959E-3</v>
      </c>
      <c r="W109" s="2"/>
      <c r="X109" s="2">
        <f t="shared" si="26"/>
        <v>0</v>
      </c>
      <c r="Y109" s="2"/>
      <c r="Z109" s="6">
        <f t="shared" si="27"/>
        <v>0</v>
      </c>
    </row>
    <row r="110" spans="1:26" s="70" customFormat="1" ht="15" hidden="1" customHeight="1" outlineLevel="2" x14ac:dyDescent="0.3">
      <c r="A110" s="26"/>
      <c r="B110" s="12" t="str">
        <f>CONCATENATE("          ","6408"," - ","INVENTORY ADJUSTMENT")</f>
        <v xml:space="preserve">          6408 - INVENTORY ADJUSTMENT</v>
      </c>
      <c r="C110" s="12"/>
      <c r="D110" s="7">
        <v>5100</v>
      </c>
      <c r="E110" s="3"/>
      <c r="F110" s="8">
        <f t="shared" si="20"/>
        <v>5.2204071241974776E-3</v>
      </c>
      <c r="G110" s="3"/>
      <c r="H110" s="7">
        <v>5100</v>
      </c>
      <c r="I110" s="3"/>
      <c r="J110" s="8">
        <f t="shared" si="21"/>
        <v>1.1664581527419771E-2</v>
      </c>
      <c r="K110" s="3"/>
      <c r="L110" s="7">
        <f t="shared" si="22"/>
        <v>0</v>
      </c>
      <c r="M110" s="3"/>
      <c r="N110" s="8">
        <f t="shared" si="23"/>
        <v>0</v>
      </c>
      <c r="O110" s="12"/>
      <c r="P110" s="7">
        <v>55000</v>
      </c>
      <c r="Q110" s="3"/>
      <c r="R110" s="8">
        <f t="shared" si="24"/>
        <v>7.7758206586985342E-3</v>
      </c>
      <c r="S110" s="3"/>
      <c r="T110" s="7">
        <v>55000</v>
      </c>
      <c r="U110" s="3"/>
      <c r="V110" s="8">
        <f t="shared" si="25"/>
        <v>6.3425164129909959E-3</v>
      </c>
      <c r="W110" s="3"/>
      <c r="X110" s="7">
        <f t="shared" si="26"/>
        <v>0</v>
      </c>
      <c r="Y110" s="3"/>
      <c r="Z110" s="8">
        <f t="shared" si="27"/>
        <v>0</v>
      </c>
    </row>
    <row r="111" spans="1:26" s="69" customFormat="1" ht="15" customHeight="1" outlineLevel="1" collapsed="1" x14ac:dyDescent="0.3">
      <c r="A111" s="25"/>
      <c r="B111" s="14" t="str">
        <f>CONCATENATE("     ","Professional Services                             ")</f>
        <v xml:space="preserve">     Professional Services                             </v>
      </c>
      <c r="C111" s="14"/>
      <c r="D111" s="2">
        <f>SUM(OSRRefD22_15x_0)</f>
        <v>0</v>
      </c>
      <c r="E111" s="2"/>
      <c r="F111" s="6">
        <f t="shared" si="20"/>
        <v>0</v>
      </c>
      <c r="G111" s="2"/>
      <c r="H111" s="2">
        <f>SUM(OSRRefH22_15x_0)</f>
        <v>250</v>
      </c>
      <c r="I111" s="2"/>
      <c r="J111" s="6">
        <f t="shared" si="21"/>
        <v>5.7179321212842021E-4</v>
      </c>
      <c r="K111" s="2"/>
      <c r="L111" s="2">
        <f t="shared" si="22"/>
        <v>-250</v>
      </c>
      <c r="M111" s="2"/>
      <c r="N111" s="6">
        <f t="shared" si="23"/>
        <v>-1</v>
      </c>
      <c r="O111" s="14"/>
      <c r="P111" s="2">
        <f>SUM(OSRRefP22_15x_0)</f>
        <v>9626.5300000000007</v>
      </c>
      <c r="Q111" s="2"/>
      <c r="R111" s="6">
        <f t="shared" si="24"/>
        <v>1.3609849244651127E-3</v>
      </c>
      <c r="S111" s="2"/>
      <c r="T111" s="2">
        <f>SUM(OSRRefT22_15x_0)</f>
        <v>1750</v>
      </c>
      <c r="U111" s="2"/>
      <c r="V111" s="6">
        <f t="shared" si="25"/>
        <v>2.0180734041334988E-4</v>
      </c>
      <c r="W111" s="2"/>
      <c r="X111" s="2">
        <f t="shared" si="26"/>
        <v>7876.5300000000007</v>
      </c>
      <c r="Y111" s="2"/>
      <c r="Z111" s="6">
        <f t="shared" si="27"/>
        <v>4.5008742857142865</v>
      </c>
    </row>
    <row r="112" spans="1:26" s="70" customFormat="1" ht="15" hidden="1" customHeight="1" outlineLevel="2" x14ac:dyDescent="0.3">
      <c r="A112" s="26"/>
      <c r="B112" s="12" t="str">
        <f>CONCATENATE("          ","6336"," - ","PROFESSIONAL SERVICES")</f>
        <v xml:space="preserve">          6336 - PROFESSIONAL SERVICES</v>
      </c>
      <c r="C112" s="12"/>
      <c r="D112" s="7"/>
      <c r="E112" s="3"/>
      <c r="F112" s="8">
        <f t="shared" si="20"/>
        <v>0</v>
      </c>
      <c r="G112" s="3"/>
      <c r="H112" s="7">
        <v>250</v>
      </c>
      <c r="I112" s="3"/>
      <c r="J112" s="8">
        <f t="shared" si="21"/>
        <v>5.7179321212842021E-4</v>
      </c>
      <c r="K112" s="3"/>
      <c r="L112" s="7">
        <f t="shared" si="22"/>
        <v>-250</v>
      </c>
      <c r="M112" s="3"/>
      <c r="N112" s="8">
        <f t="shared" si="23"/>
        <v>-1</v>
      </c>
      <c r="O112" s="12"/>
      <c r="P112" s="7">
        <v>9626.5300000000007</v>
      </c>
      <c r="Q112" s="3"/>
      <c r="R112" s="8">
        <f t="shared" si="24"/>
        <v>1.3609849244651127E-3</v>
      </c>
      <c r="S112" s="3"/>
      <c r="T112" s="7">
        <v>1750</v>
      </c>
      <c r="U112" s="3"/>
      <c r="V112" s="8">
        <f t="shared" si="25"/>
        <v>2.0180734041334988E-4</v>
      </c>
      <c r="W112" s="3"/>
      <c r="X112" s="7">
        <f t="shared" si="26"/>
        <v>7876.5300000000007</v>
      </c>
      <c r="Y112" s="3"/>
      <c r="Z112" s="8">
        <f t="shared" si="27"/>
        <v>4.5008742857142865</v>
      </c>
    </row>
    <row r="113" spans="1:26" s="69" customFormat="1" ht="15" customHeight="1" outlineLevel="1" collapsed="1" x14ac:dyDescent="0.3">
      <c r="A113" s="25"/>
      <c r="B113" s="14" t="str">
        <f>CONCATENATE("     ","Rent                                              ")</f>
        <v xml:space="preserve">     Rent                                              </v>
      </c>
      <c r="C113" s="14"/>
      <c r="D113" s="2">
        <f>SUM(OSRRefD22_16x_0)</f>
        <v>6100</v>
      </c>
      <c r="E113" s="2"/>
      <c r="F113" s="6">
        <f t="shared" si="20"/>
        <v>6.2440163642361983E-3</v>
      </c>
      <c r="G113" s="2"/>
      <c r="H113" s="2">
        <f>SUM(OSRRefH22_16x_0)</f>
        <v>6100</v>
      </c>
      <c r="I113" s="2"/>
      <c r="J113" s="6">
        <f t="shared" si="21"/>
        <v>1.3951754375933453E-2</v>
      </c>
      <c r="K113" s="2"/>
      <c r="L113" s="2">
        <f t="shared" si="22"/>
        <v>0</v>
      </c>
      <c r="M113" s="2"/>
      <c r="N113" s="6">
        <f t="shared" si="23"/>
        <v>0</v>
      </c>
      <c r="O113" s="14"/>
      <c r="P113" s="2">
        <f>SUM(OSRRefP22_16x_0)</f>
        <v>61000</v>
      </c>
      <c r="Q113" s="2"/>
      <c r="R113" s="6">
        <f t="shared" si="24"/>
        <v>8.6240920032838279E-3</v>
      </c>
      <c r="S113" s="2"/>
      <c r="T113" s="2">
        <f>SUM(OSRRefT22_16x_0)</f>
        <v>61000</v>
      </c>
      <c r="U113" s="2"/>
      <c r="V113" s="6">
        <f t="shared" si="25"/>
        <v>7.0344272944081951E-3</v>
      </c>
      <c r="W113" s="2"/>
      <c r="X113" s="2">
        <f t="shared" si="26"/>
        <v>0</v>
      </c>
      <c r="Y113" s="2"/>
      <c r="Z113" s="6">
        <f t="shared" si="27"/>
        <v>0</v>
      </c>
    </row>
    <row r="114" spans="1:26" s="70" customFormat="1" ht="15" hidden="1" customHeight="1" outlineLevel="2" x14ac:dyDescent="0.3">
      <c r="A114" s="26"/>
      <c r="B114" s="12" t="str">
        <f>CONCATENATE("          ","6273"," - ","RENT")</f>
        <v xml:space="preserve">          6273 - RENT</v>
      </c>
      <c r="C114" s="12"/>
      <c r="D114" s="7">
        <v>6100</v>
      </c>
      <c r="E114" s="3"/>
      <c r="F114" s="8">
        <f t="shared" si="20"/>
        <v>6.2440163642361983E-3</v>
      </c>
      <c r="G114" s="3"/>
      <c r="H114" s="7">
        <v>6100</v>
      </c>
      <c r="I114" s="3"/>
      <c r="J114" s="8">
        <f t="shared" si="21"/>
        <v>1.3951754375933453E-2</v>
      </c>
      <c r="K114" s="3"/>
      <c r="L114" s="7">
        <f t="shared" si="22"/>
        <v>0</v>
      </c>
      <c r="M114" s="3"/>
      <c r="N114" s="8">
        <f t="shared" si="23"/>
        <v>0</v>
      </c>
      <c r="O114" s="12"/>
      <c r="P114" s="7">
        <v>61000</v>
      </c>
      <c r="Q114" s="3"/>
      <c r="R114" s="8">
        <f t="shared" si="24"/>
        <v>8.6240920032838279E-3</v>
      </c>
      <c r="S114" s="3"/>
      <c r="T114" s="7">
        <v>61000</v>
      </c>
      <c r="U114" s="3"/>
      <c r="V114" s="8">
        <f t="shared" si="25"/>
        <v>7.0344272944081951E-3</v>
      </c>
      <c r="W114" s="3"/>
      <c r="X114" s="7">
        <f t="shared" si="26"/>
        <v>0</v>
      </c>
      <c r="Y114" s="3"/>
      <c r="Z114" s="8">
        <f t="shared" si="27"/>
        <v>0</v>
      </c>
    </row>
    <row r="115" spans="1:26" s="69" customFormat="1" ht="15" customHeight="1" outlineLevel="1" collapsed="1" x14ac:dyDescent="0.3">
      <c r="A115" s="25"/>
      <c r="B115" s="14" t="str">
        <f>CONCATENATE("     ","Repair and Maintenance                            ")</f>
        <v xml:space="preserve">     Repair and Maintenance                            </v>
      </c>
      <c r="C115" s="14"/>
      <c r="D115" s="2">
        <f>SUM(OSRRefD22_17x_0)</f>
        <v>6655.6500000000005</v>
      </c>
      <c r="E115" s="2"/>
      <c r="F115" s="6">
        <f t="shared" si="20"/>
        <v>6.8127848384637139E-3</v>
      </c>
      <c r="G115" s="2"/>
      <c r="H115" s="2">
        <f>SUM(OSRRefH22_17x_0)</f>
        <v>11110</v>
      </c>
      <c r="I115" s="2"/>
      <c r="J115" s="6">
        <f t="shared" si="21"/>
        <v>2.5410490346986992E-2</v>
      </c>
      <c r="K115" s="2"/>
      <c r="L115" s="2">
        <f t="shared" si="22"/>
        <v>-4454.3499999999995</v>
      </c>
      <c r="M115" s="2"/>
      <c r="N115" s="6">
        <f t="shared" si="23"/>
        <v>-0.40093159315931587</v>
      </c>
      <c r="O115" s="14"/>
      <c r="P115" s="2">
        <f>SUM(OSRRefP22_17x_0)</f>
        <v>143668.84999999998</v>
      </c>
      <c r="Q115" s="2"/>
      <c r="R115" s="6">
        <f t="shared" si="24"/>
        <v>2.031169476075383E-2</v>
      </c>
      <c r="S115" s="2"/>
      <c r="T115" s="2">
        <f>SUM(OSRRefT22_17x_0)</f>
        <v>165947</v>
      </c>
      <c r="U115" s="2"/>
      <c r="V115" s="6">
        <f t="shared" si="25"/>
        <v>1.9136755839756669E-2</v>
      </c>
      <c r="W115" s="2"/>
      <c r="X115" s="2">
        <f t="shared" si="26"/>
        <v>-22278.150000000023</v>
      </c>
      <c r="Y115" s="2"/>
      <c r="Z115" s="6">
        <f t="shared" si="27"/>
        <v>-0.1342485853917216</v>
      </c>
    </row>
    <row r="116" spans="1:26" s="70" customFormat="1" ht="15" hidden="1" customHeight="1" outlineLevel="2" x14ac:dyDescent="0.3">
      <c r="A116" s="26"/>
      <c r="B116" s="12" t="str">
        <f>CONCATENATE("          ","6371"," - ","COMPUTER SOFTWARE MAINTENANCE")</f>
        <v xml:space="preserve">          6371 - COMPUTER SOFTWARE MAINTENANCE</v>
      </c>
      <c r="C116" s="12"/>
      <c r="D116" s="7"/>
      <c r="E116" s="3"/>
      <c r="F116" s="8">
        <f t="shared" si="20"/>
        <v>0</v>
      </c>
      <c r="G116" s="3"/>
      <c r="H116" s="7">
        <v>1000</v>
      </c>
      <c r="I116" s="3"/>
      <c r="J116" s="8">
        <f t="shared" si="21"/>
        <v>2.2871728485136808E-3</v>
      </c>
      <c r="K116" s="3"/>
      <c r="L116" s="7">
        <f t="shared" si="22"/>
        <v>-1000</v>
      </c>
      <c r="M116" s="3"/>
      <c r="N116" s="8">
        <f t="shared" si="23"/>
        <v>-1</v>
      </c>
      <c r="O116" s="12"/>
      <c r="P116" s="7">
        <v>62511</v>
      </c>
      <c r="Q116" s="3"/>
      <c r="R116" s="8">
        <f t="shared" si="24"/>
        <v>8.8377150035618916E-3</v>
      </c>
      <c r="S116" s="3"/>
      <c r="T116" s="7">
        <v>51723</v>
      </c>
      <c r="U116" s="3"/>
      <c r="V116" s="8">
        <f t="shared" si="25"/>
        <v>5.9646177532569683E-3</v>
      </c>
      <c r="W116" s="3"/>
      <c r="X116" s="7">
        <f t="shared" si="26"/>
        <v>10788</v>
      </c>
      <c r="Y116" s="3"/>
      <c r="Z116" s="8">
        <f t="shared" si="27"/>
        <v>0.20857258859694913</v>
      </c>
    </row>
    <row r="117" spans="1:26" s="70" customFormat="1" ht="15" hidden="1" customHeight="1" outlineLevel="2" x14ac:dyDescent="0.3">
      <c r="A117" s="26"/>
      <c r="B117" s="12" t="str">
        <f>CONCATENATE("          ","6372"," - ","COMPUTER HARDWARE MAINTENANCE")</f>
        <v xml:space="preserve">          6372 - COMPUTER HARDWARE MAINTENANCE</v>
      </c>
      <c r="C117" s="12"/>
      <c r="D117" s="7"/>
      <c r="E117" s="3"/>
      <c r="F117" s="8">
        <f t="shared" si="20"/>
        <v>0</v>
      </c>
      <c r="G117" s="3"/>
      <c r="H117" s="7">
        <v>3750</v>
      </c>
      <c r="I117" s="3"/>
      <c r="J117" s="8">
        <f t="shared" si="21"/>
        <v>8.5768981819263033E-3</v>
      </c>
      <c r="K117" s="3"/>
      <c r="L117" s="7">
        <f t="shared" si="22"/>
        <v>-3750</v>
      </c>
      <c r="M117" s="3"/>
      <c r="N117" s="8">
        <f t="shared" si="23"/>
        <v>-1</v>
      </c>
      <c r="O117" s="12"/>
      <c r="P117" s="7"/>
      <c r="Q117" s="3"/>
      <c r="R117" s="8">
        <f t="shared" si="24"/>
        <v>0</v>
      </c>
      <c r="S117" s="3"/>
      <c r="T117" s="7">
        <v>34120</v>
      </c>
      <c r="U117" s="3"/>
      <c r="V117" s="8">
        <f t="shared" si="25"/>
        <v>3.934666545659141E-3</v>
      </c>
      <c r="W117" s="3"/>
      <c r="X117" s="7">
        <f t="shared" si="26"/>
        <v>-34120</v>
      </c>
      <c r="Y117" s="3"/>
      <c r="Z117" s="8">
        <f t="shared" si="27"/>
        <v>-1</v>
      </c>
    </row>
    <row r="118" spans="1:26" s="70" customFormat="1" ht="15" hidden="1" customHeight="1" outlineLevel="2" x14ac:dyDescent="0.3">
      <c r="A118" s="26"/>
      <c r="B118" s="12" t="str">
        <f>CONCATENATE("          ","6373"," - ","MAINTENANCE CONTRACTS")</f>
        <v xml:space="preserve">          6373 - MAINTENANCE CONTRACTS</v>
      </c>
      <c r="C118" s="12"/>
      <c r="D118" s="7">
        <v>800.18</v>
      </c>
      <c r="E118" s="3"/>
      <c r="F118" s="8">
        <f t="shared" si="20"/>
        <v>8.1907164169418378E-4</v>
      </c>
      <c r="G118" s="3"/>
      <c r="H118" s="7">
        <v>6105</v>
      </c>
      <c r="I118" s="3"/>
      <c r="J118" s="8">
        <f t="shared" si="21"/>
        <v>1.396319024017602E-2</v>
      </c>
      <c r="K118" s="3"/>
      <c r="L118" s="7">
        <f t="shared" si="22"/>
        <v>-5304.82</v>
      </c>
      <c r="M118" s="3"/>
      <c r="N118" s="8">
        <f t="shared" si="23"/>
        <v>-0.86893038493038488</v>
      </c>
      <c r="O118" s="12"/>
      <c r="P118" s="7">
        <v>23400.9</v>
      </c>
      <c r="Q118" s="3"/>
      <c r="R118" s="8">
        <f t="shared" si="24"/>
        <v>3.3083854845843371E-3</v>
      </c>
      <c r="S118" s="3"/>
      <c r="T118" s="7">
        <v>75424</v>
      </c>
      <c r="U118" s="3"/>
      <c r="V118" s="8">
        <f t="shared" si="25"/>
        <v>8.6977810533351435E-3</v>
      </c>
      <c r="W118" s="3"/>
      <c r="X118" s="7">
        <f t="shared" si="26"/>
        <v>-52023.1</v>
      </c>
      <c r="Y118" s="3"/>
      <c r="Z118" s="8">
        <f t="shared" si="27"/>
        <v>-0.6897419919389054</v>
      </c>
    </row>
    <row r="119" spans="1:26" s="70" customFormat="1" ht="15" hidden="1" customHeight="1" outlineLevel="2" x14ac:dyDescent="0.3">
      <c r="A119" s="26"/>
      <c r="B119" s="12" t="str">
        <f>CONCATENATE("          ","6375"," - ","OUTSIDE REPAIRS &amp; MAINTENANCE")</f>
        <v xml:space="preserve">          6375 - OUTSIDE REPAIRS &amp; MAINTENANCE</v>
      </c>
      <c r="C119" s="12"/>
      <c r="D119" s="7">
        <v>5855.47</v>
      </c>
      <c r="E119" s="3"/>
      <c r="F119" s="8">
        <f t="shared" si="20"/>
        <v>5.9937131967695298E-3</v>
      </c>
      <c r="G119" s="3"/>
      <c r="H119" s="7">
        <v>255</v>
      </c>
      <c r="I119" s="3"/>
      <c r="J119" s="8">
        <f t="shared" si="21"/>
        <v>5.8322907637098863E-4</v>
      </c>
      <c r="K119" s="3"/>
      <c r="L119" s="7">
        <f t="shared" si="22"/>
        <v>5600.47</v>
      </c>
      <c r="M119" s="3"/>
      <c r="N119" s="8">
        <f t="shared" si="23"/>
        <v>21.962627450980392</v>
      </c>
      <c r="O119" s="12"/>
      <c r="P119" s="7">
        <v>57756.95</v>
      </c>
      <c r="Q119" s="3"/>
      <c r="R119" s="8">
        <f t="shared" si="24"/>
        <v>8.1655942726076049E-3</v>
      </c>
      <c r="S119" s="3"/>
      <c r="T119" s="7">
        <v>4680</v>
      </c>
      <c r="U119" s="3"/>
      <c r="V119" s="8">
        <f t="shared" si="25"/>
        <v>5.396904875054156E-4</v>
      </c>
      <c r="W119" s="3"/>
      <c r="X119" s="7">
        <f t="shared" si="26"/>
        <v>53076.95</v>
      </c>
      <c r="Y119" s="3"/>
      <c r="Z119" s="8">
        <f t="shared" si="27"/>
        <v>11.341228632478632</v>
      </c>
    </row>
    <row r="120" spans="1:26" s="69" customFormat="1" ht="15" customHeight="1" outlineLevel="1" collapsed="1" x14ac:dyDescent="0.3">
      <c r="A120" s="25"/>
      <c r="B120" s="14" t="str">
        <f>CONCATENATE("     ","Royalty &amp; Commissions                             ")</f>
        <v xml:space="preserve">     Royalty &amp; Commissions                             </v>
      </c>
      <c r="C120" s="14"/>
      <c r="D120" s="2">
        <f>SUM(OSRRefD22_18x_0)</f>
        <v>33254.11</v>
      </c>
      <c r="E120" s="2"/>
      <c r="F120" s="6">
        <f t="shared" si="20"/>
        <v>3.4039214265264031E-2</v>
      </c>
      <c r="G120" s="2"/>
      <c r="H120" s="2">
        <f>SUM(OSRRefH22_18x_0)</f>
        <v>19437</v>
      </c>
      <c r="I120" s="2"/>
      <c r="J120" s="6">
        <f t="shared" si="21"/>
        <v>4.4455778656560412E-2</v>
      </c>
      <c r="K120" s="2"/>
      <c r="L120" s="2">
        <f t="shared" si="22"/>
        <v>13817.11</v>
      </c>
      <c r="M120" s="2"/>
      <c r="N120" s="6">
        <f t="shared" si="23"/>
        <v>0.71086638884601538</v>
      </c>
      <c r="O120" s="14"/>
      <c r="P120" s="2">
        <f>SUM(OSRRefP22_18x_0)</f>
        <v>85990.04</v>
      </c>
      <c r="Q120" s="2"/>
      <c r="R120" s="6">
        <f t="shared" si="24"/>
        <v>1.2157147808623878E-2</v>
      </c>
      <c r="S120" s="2"/>
      <c r="T120" s="2">
        <f>SUM(OSRRefT22_18x_0)</f>
        <v>102127</v>
      </c>
      <c r="U120" s="2"/>
      <c r="V120" s="6">
        <f t="shared" si="25"/>
        <v>1.1777130431082389E-2</v>
      </c>
      <c r="W120" s="2"/>
      <c r="X120" s="2">
        <f t="shared" si="26"/>
        <v>-16136.960000000006</v>
      </c>
      <c r="Y120" s="2"/>
      <c r="Z120" s="6">
        <f t="shared" si="27"/>
        <v>-0.15800875380653506</v>
      </c>
    </row>
    <row r="121" spans="1:26" s="70" customFormat="1" ht="15" hidden="1" customHeight="1" outlineLevel="2" x14ac:dyDescent="0.3">
      <c r="A121" s="26"/>
      <c r="B121" s="12" t="str">
        <f>CONCATENATE("          ","6252"," - ","ROYALTY DUE CSTV")</f>
        <v xml:space="preserve">          6252 - ROYALTY DUE CSTV</v>
      </c>
      <c r="C121" s="12"/>
      <c r="D121" s="7"/>
      <c r="E121" s="3"/>
      <c r="F121" s="8">
        <f t="shared" si="20"/>
        <v>0</v>
      </c>
      <c r="G121" s="3"/>
      <c r="H121" s="7">
        <v>948</v>
      </c>
      <c r="I121" s="3"/>
      <c r="J121" s="8">
        <f t="shared" si="21"/>
        <v>2.1682398603909692E-3</v>
      </c>
      <c r="K121" s="3"/>
      <c r="L121" s="7">
        <f t="shared" si="22"/>
        <v>-948</v>
      </c>
      <c r="M121" s="3"/>
      <c r="N121" s="8">
        <f t="shared" si="23"/>
        <v>-1</v>
      </c>
      <c r="O121" s="12"/>
      <c r="P121" s="7"/>
      <c r="Q121" s="3"/>
      <c r="R121" s="8">
        <f t="shared" si="24"/>
        <v>0</v>
      </c>
      <c r="S121" s="3"/>
      <c r="T121" s="7">
        <v>13530</v>
      </c>
      <c r="U121" s="3"/>
      <c r="V121" s="8">
        <f t="shared" si="25"/>
        <v>1.560259037595785E-3</v>
      </c>
      <c r="W121" s="3"/>
      <c r="X121" s="7">
        <f t="shared" si="26"/>
        <v>-13530</v>
      </c>
      <c r="Y121" s="3"/>
      <c r="Z121" s="8">
        <f t="shared" si="27"/>
        <v>-1</v>
      </c>
    </row>
    <row r="122" spans="1:26" s="70" customFormat="1" ht="15" hidden="1" customHeight="1" outlineLevel="2" x14ac:dyDescent="0.3">
      <c r="A122" s="26"/>
      <c r="B122" s="12" t="str">
        <f>CONCATENATE("          ","6253"," - ","ROYALTY DUE ATHLETICS-LRG")</f>
        <v xml:space="preserve">          6253 - ROYALTY DUE ATHLETICS-LRG</v>
      </c>
      <c r="C122" s="12"/>
      <c r="D122" s="7">
        <v>15944.33</v>
      </c>
      <c r="E122" s="3"/>
      <c r="F122" s="8">
        <f t="shared" ref="F122:F151" si="28">IF(D$12=0,0,D122/D$12)</f>
        <v>1.632076351422658E-2</v>
      </c>
      <c r="G122" s="3"/>
      <c r="H122" s="7">
        <v>14555</v>
      </c>
      <c r="I122" s="3"/>
      <c r="J122" s="8">
        <f t="shared" ref="J122:J151" si="29">IF(H$12=0,0,H122/H$12)</f>
        <v>3.3289800810116621E-2</v>
      </c>
      <c r="K122" s="3"/>
      <c r="L122" s="7">
        <f t="shared" ref="L122:L151" si="30">+D122-H122</f>
        <v>1389.33</v>
      </c>
      <c r="M122" s="3"/>
      <c r="N122" s="8">
        <f t="shared" ref="N122:N151" si="31">IF(H122=0,0,L122/H122)</f>
        <v>9.5453795946410167E-2</v>
      </c>
      <c r="O122" s="12"/>
      <c r="P122" s="7">
        <v>55165.49</v>
      </c>
      <c r="Q122" s="3"/>
      <c r="R122" s="8">
        <f t="shared" ref="R122:R151" si="32">IF(P$12=0,0,P122/P$12)</f>
        <v>7.7992173961677702E-3</v>
      </c>
      <c r="S122" s="3"/>
      <c r="T122" s="7">
        <v>38502</v>
      </c>
      <c r="U122" s="3"/>
      <c r="V122" s="8">
        <f t="shared" ref="V122:V151" si="33">IF(T$12=0,0,T122/T$12)</f>
        <v>4.4399921260541691E-3</v>
      </c>
      <c r="W122" s="3"/>
      <c r="X122" s="7">
        <f t="shared" ref="X122:X151" si="34">+P122-T122</f>
        <v>16663.489999999998</v>
      </c>
      <c r="Y122" s="3"/>
      <c r="Z122" s="8">
        <f t="shared" ref="Z122:Z151" si="35">IF(T122=0,0,X122/T122)</f>
        <v>0.4327954391979637</v>
      </c>
    </row>
    <row r="123" spans="1:26" s="70" customFormat="1" ht="15" hidden="1" customHeight="1" outlineLevel="2" x14ac:dyDescent="0.3">
      <c r="A123" s="26"/>
      <c r="B123" s="12" t="str">
        <f>CONCATENATE("          ","6254"," - ","ROYALTY &amp; COMMISSIONS")</f>
        <v xml:space="preserve">          6254 - ROYALTY &amp; COMMISSIONS</v>
      </c>
      <c r="C123" s="12"/>
      <c r="D123" s="7">
        <v>15264.75</v>
      </c>
      <c r="E123" s="3"/>
      <c r="F123" s="8">
        <f t="shared" si="28"/>
        <v>1.5625139146881066E-2</v>
      </c>
      <c r="G123" s="3"/>
      <c r="H123" s="7">
        <v>1000</v>
      </c>
      <c r="I123" s="3"/>
      <c r="J123" s="8">
        <f t="shared" si="29"/>
        <v>2.2871728485136808E-3</v>
      </c>
      <c r="K123" s="3"/>
      <c r="L123" s="7">
        <f t="shared" si="30"/>
        <v>14264.75</v>
      </c>
      <c r="M123" s="3"/>
      <c r="N123" s="8">
        <f t="shared" si="31"/>
        <v>14.264749999999999</v>
      </c>
      <c r="O123" s="12"/>
      <c r="P123" s="7">
        <v>18773.900000000001</v>
      </c>
      <c r="Q123" s="3"/>
      <c r="R123" s="8">
        <f t="shared" si="32"/>
        <v>2.6542268993516439E-3</v>
      </c>
      <c r="S123" s="3"/>
      <c r="T123" s="7">
        <v>3500</v>
      </c>
      <c r="U123" s="3"/>
      <c r="V123" s="8">
        <f t="shared" si="33"/>
        <v>4.0361468082669976E-4</v>
      </c>
      <c r="W123" s="3"/>
      <c r="X123" s="7">
        <f t="shared" si="34"/>
        <v>15273.900000000001</v>
      </c>
      <c r="Y123" s="3"/>
      <c r="Z123" s="8">
        <f t="shared" si="35"/>
        <v>4.3639714285714293</v>
      </c>
    </row>
    <row r="124" spans="1:26" s="70" customFormat="1" ht="15" hidden="1" customHeight="1" outlineLevel="2" x14ac:dyDescent="0.3">
      <c r="A124" s="26"/>
      <c r="B124" s="12" t="str">
        <f>CONCATENATE("          ","6259"," - ","ROYALTY &amp; COMMISSIONS")</f>
        <v xml:space="preserve">          6259 - ROYALTY &amp; COMMISSIONS</v>
      </c>
      <c r="C124" s="12"/>
      <c r="D124" s="7">
        <v>2045.03</v>
      </c>
      <c r="E124" s="3"/>
      <c r="F124" s="8">
        <f t="shared" si="28"/>
        <v>2.0933116041563856E-3</v>
      </c>
      <c r="G124" s="3"/>
      <c r="H124" s="7">
        <v>2934</v>
      </c>
      <c r="I124" s="3"/>
      <c r="J124" s="8">
        <f t="shared" si="29"/>
        <v>6.7105651375391389E-3</v>
      </c>
      <c r="K124" s="3"/>
      <c r="L124" s="7">
        <f t="shared" si="30"/>
        <v>-888.97</v>
      </c>
      <c r="M124" s="3"/>
      <c r="N124" s="8">
        <f t="shared" si="31"/>
        <v>-0.30298909338786639</v>
      </c>
      <c r="O124" s="12"/>
      <c r="P124" s="7">
        <v>12050.65</v>
      </c>
      <c r="Q124" s="3"/>
      <c r="R124" s="8">
        <f t="shared" si="32"/>
        <v>1.7037035131044634E-3</v>
      </c>
      <c r="S124" s="3"/>
      <c r="T124" s="7">
        <v>46595</v>
      </c>
      <c r="U124" s="3"/>
      <c r="V124" s="8">
        <f t="shared" si="33"/>
        <v>5.3732645866057353E-3</v>
      </c>
      <c r="W124" s="3"/>
      <c r="X124" s="7">
        <f t="shared" si="34"/>
        <v>-34544.35</v>
      </c>
      <c r="Y124" s="3"/>
      <c r="Z124" s="8">
        <f t="shared" si="35"/>
        <v>-0.74137461100976498</v>
      </c>
    </row>
    <row r="125" spans="1:26" s="69" customFormat="1" ht="15" customHeight="1" outlineLevel="1" collapsed="1" x14ac:dyDescent="0.3">
      <c r="A125" s="25"/>
      <c r="B125" s="14" t="str">
        <f>CONCATENATE("     ","Services                                          ")</f>
        <v xml:space="preserve">     Services                                          </v>
      </c>
      <c r="C125" s="14"/>
      <c r="D125" s="2">
        <f>SUM(OSRRefD22_19x_0)</f>
        <v>5530.91</v>
      </c>
      <c r="E125" s="2"/>
      <c r="F125" s="6">
        <f t="shared" si="28"/>
        <v>5.6614905818225623E-3</v>
      </c>
      <c r="G125" s="2"/>
      <c r="H125" s="2">
        <f>SUM(OSRRefH22_19x_0)</f>
        <v>4652</v>
      </c>
      <c r="I125" s="2"/>
      <c r="J125" s="6">
        <f t="shared" si="29"/>
        <v>1.0639928091285642E-2</v>
      </c>
      <c r="K125" s="2"/>
      <c r="L125" s="2">
        <f t="shared" si="30"/>
        <v>878.90999999999985</v>
      </c>
      <c r="M125" s="2"/>
      <c r="N125" s="6">
        <f t="shared" si="31"/>
        <v>0.18893164230438517</v>
      </c>
      <c r="O125" s="14"/>
      <c r="P125" s="2">
        <f>SUM(OSRRefP22_19x_0)</f>
        <v>68927.56</v>
      </c>
      <c r="Q125" s="2"/>
      <c r="R125" s="6">
        <f t="shared" si="32"/>
        <v>9.744879000030595E-3</v>
      </c>
      <c r="S125" s="2"/>
      <c r="T125" s="2">
        <f>SUM(OSRRefT22_19x_0)</f>
        <v>46417</v>
      </c>
      <c r="U125" s="2"/>
      <c r="V125" s="6">
        <f t="shared" si="33"/>
        <v>5.3527378971236919E-3</v>
      </c>
      <c r="W125" s="2"/>
      <c r="X125" s="2">
        <f t="shared" si="34"/>
        <v>22510.559999999998</v>
      </c>
      <c r="Y125" s="2"/>
      <c r="Z125" s="6">
        <f t="shared" si="35"/>
        <v>0.48496369864489297</v>
      </c>
    </row>
    <row r="126" spans="1:26" s="70" customFormat="1" ht="15" hidden="1" customHeight="1" outlineLevel="2" x14ac:dyDescent="0.3">
      <c r="A126" s="26"/>
      <c r="B126" s="12" t="str">
        <f>CONCATENATE("          ","6282"," - ","JANITORIAL/EXTERMINATOR EXPENS")</f>
        <v xml:space="preserve">          6282 - JANITORIAL/EXTERMINATOR EXPENS</v>
      </c>
      <c r="C126" s="12"/>
      <c r="D126" s="7">
        <v>861</v>
      </c>
      <c r="E126" s="3"/>
      <c r="F126" s="8">
        <f t="shared" si="28"/>
        <v>8.8132755567333883E-4</v>
      </c>
      <c r="G126" s="3"/>
      <c r="H126" s="7">
        <v>4558</v>
      </c>
      <c r="I126" s="3"/>
      <c r="J126" s="8">
        <f t="shared" si="29"/>
        <v>1.0424933843525356E-2</v>
      </c>
      <c r="K126" s="3"/>
      <c r="L126" s="7">
        <f t="shared" si="30"/>
        <v>-3697</v>
      </c>
      <c r="M126" s="3"/>
      <c r="N126" s="8">
        <f t="shared" si="31"/>
        <v>-0.81110136024572177</v>
      </c>
      <c r="O126" s="12"/>
      <c r="P126" s="7">
        <v>6586.48</v>
      </c>
      <c r="Q126" s="3"/>
      <c r="R126" s="8">
        <f t="shared" si="32"/>
        <v>9.3118704094735845E-4</v>
      </c>
      <c r="S126" s="3"/>
      <c r="T126" s="7">
        <v>45322</v>
      </c>
      <c r="U126" s="3"/>
      <c r="V126" s="8">
        <f t="shared" si="33"/>
        <v>5.2264641612650526E-3</v>
      </c>
      <c r="W126" s="3"/>
      <c r="X126" s="7">
        <f t="shared" si="34"/>
        <v>-38735.520000000004</v>
      </c>
      <c r="Y126" s="3"/>
      <c r="Z126" s="8">
        <f t="shared" si="35"/>
        <v>-0.85467366841710435</v>
      </c>
    </row>
    <row r="127" spans="1:26" s="70" customFormat="1" ht="15" hidden="1" customHeight="1" outlineLevel="2" x14ac:dyDescent="0.3">
      <c r="A127" s="26"/>
      <c r="B127" s="12" t="str">
        <f>CONCATENATE("          ","6284"," - ","TRASH REMOVAL EXPENSE")</f>
        <v xml:space="preserve">          6284 - TRASH REMOVAL EXPENSE</v>
      </c>
      <c r="C127" s="12"/>
      <c r="D127" s="7"/>
      <c r="E127" s="3"/>
      <c r="F127" s="8">
        <f t="shared" si="28"/>
        <v>0</v>
      </c>
      <c r="G127" s="3"/>
      <c r="H127" s="7">
        <v>60</v>
      </c>
      <c r="I127" s="3"/>
      <c r="J127" s="8">
        <f t="shared" si="29"/>
        <v>1.3723037091082084E-4</v>
      </c>
      <c r="K127" s="3"/>
      <c r="L127" s="7">
        <f t="shared" si="30"/>
        <v>-60</v>
      </c>
      <c r="M127" s="3"/>
      <c r="N127" s="8">
        <f t="shared" si="31"/>
        <v>-1</v>
      </c>
      <c r="O127" s="12"/>
      <c r="P127" s="7">
        <v>1340.17</v>
      </c>
      <c r="Q127" s="3"/>
      <c r="R127" s="8">
        <f t="shared" si="32"/>
        <v>1.8947130131214573E-4</v>
      </c>
      <c r="S127" s="3"/>
      <c r="T127" s="7">
        <v>780</v>
      </c>
      <c r="U127" s="3"/>
      <c r="V127" s="8">
        <f t="shared" si="33"/>
        <v>8.9948414584235947E-5</v>
      </c>
      <c r="W127" s="3"/>
      <c r="X127" s="7">
        <f t="shared" si="34"/>
        <v>560.17000000000007</v>
      </c>
      <c r="Y127" s="3"/>
      <c r="Z127" s="8">
        <f t="shared" si="35"/>
        <v>0.71816666666666673</v>
      </c>
    </row>
    <row r="128" spans="1:26" s="70" customFormat="1" ht="15" hidden="1" customHeight="1" outlineLevel="2" x14ac:dyDescent="0.3">
      <c r="A128" s="26"/>
      <c r="B128" s="12" t="str">
        <f>CONCATENATE("          ","6285"," - ","JANITORIAL SERVICES")</f>
        <v xml:space="preserve">          6285 - JANITORIAL SERVICES</v>
      </c>
      <c r="C128" s="12"/>
      <c r="D128" s="7">
        <v>4407.4799999999996</v>
      </c>
      <c r="E128" s="3"/>
      <c r="F128" s="8">
        <f t="shared" si="28"/>
        <v>4.5115372532858614E-3</v>
      </c>
      <c r="G128" s="3"/>
      <c r="H128" s="7"/>
      <c r="I128" s="3"/>
      <c r="J128" s="8">
        <f t="shared" si="29"/>
        <v>0</v>
      </c>
      <c r="K128" s="3"/>
      <c r="L128" s="7">
        <f t="shared" si="30"/>
        <v>4407.4799999999996</v>
      </c>
      <c r="M128" s="3"/>
      <c r="N128" s="8">
        <f t="shared" si="31"/>
        <v>0</v>
      </c>
      <c r="O128" s="12"/>
      <c r="P128" s="7">
        <v>59946.15</v>
      </c>
      <c r="Q128" s="3"/>
      <c r="R128" s="8">
        <f t="shared" si="32"/>
        <v>8.4751002105352934E-3</v>
      </c>
      <c r="S128" s="3"/>
      <c r="T128" s="7"/>
      <c r="U128" s="3"/>
      <c r="V128" s="8">
        <f t="shared" si="33"/>
        <v>0</v>
      </c>
      <c r="W128" s="3"/>
      <c r="X128" s="7">
        <f t="shared" si="34"/>
        <v>59946.15</v>
      </c>
      <c r="Y128" s="3"/>
      <c r="Z128" s="8">
        <f t="shared" si="35"/>
        <v>0</v>
      </c>
    </row>
    <row r="129" spans="1:26" s="70" customFormat="1" ht="15" hidden="1" customHeight="1" outlineLevel="2" x14ac:dyDescent="0.3">
      <c r="A129" s="26"/>
      <c r="B129" s="12" t="str">
        <f>CONCATENATE("          ","6286"," - ","LAUNDRY EXPENSE")</f>
        <v xml:space="preserve">          6286 - LAUNDRY EXPENSE</v>
      </c>
      <c r="C129" s="12"/>
      <c r="D129" s="7">
        <v>262.43</v>
      </c>
      <c r="E129" s="3"/>
      <c r="F129" s="8">
        <f t="shared" si="28"/>
        <v>2.6862577286336156E-4</v>
      </c>
      <c r="G129" s="3"/>
      <c r="H129" s="7">
        <v>34</v>
      </c>
      <c r="I129" s="3"/>
      <c r="J129" s="8">
        <f t="shared" si="29"/>
        <v>7.7763876849465142E-5</v>
      </c>
      <c r="K129" s="3"/>
      <c r="L129" s="7">
        <f t="shared" si="30"/>
        <v>228.43</v>
      </c>
      <c r="M129" s="3"/>
      <c r="N129" s="8">
        <f t="shared" si="31"/>
        <v>6.7185294117647061</v>
      </c>
      <c r="O129" s="12"/>
      <c r="P129" s="7">
        <v>1054.76</v>
      </c>
      <c r="Q129" s="3"/>
      <c r="R129" s="8">
        <f t="shared" si="32"/>
        <v>1.4912044723579756E-4</v>
      </c>
      <c r="S129" s="3"/>
      <c r="T129" s="7">
        <v>315</v>
      </c>
      <c r="U129" s="3"/>
      <c r="V129" s="8">
        <f t="shared" si="33"/>
        <v>3.6325321274402978E-5</v>
      </c>
      <c r="W129" s="3"/>
      <c r="X129" s="7">
        <f t="shared" si="34"/>
        <v>739.76</v>
      </c>
      <c r="Y129" s="3"/>
      <c r="Z129" s="8">
        <f t="shared" si="35"/>
        <v>2.3484444444444446</v>
      </c>
    </row>
    <row r="130" spans="1:26" s="69" customFormat="1" ht="15" customHeight="1" outlineLevel="1" collapsed="1" x14ac:dyDescent="0.3">
      <c r="A130" s="25"/>
      <c r="B130" s="14" t="str">
        <f>CONCATENATE("     ","Subscriptions &amp; Dues                              ")</f>
        <v xml:space="preserve">     Subscriptions &amp; Dues                              </v>
      </c>
      <c r="C130" s="14"/>
      <c r="D130" s="2">
        <f>SUM(OSRRefD22_20x_0)</f>
        <v>2418.29</v>
      </c>
      <c r="E130" s="2"/>
      <c r="F130" s="6">
        <f t="shared" si="28"/>
        <v>2.4753839890932386E-3</v>
      </c>
      <c r="G130" s="2"/>
      <c r="H130" s="2">
        <f>SUM(OSRRefH22_20x_0)</f>
        <v>1461</v>
      </c>
      <c r="I130" s="2"/>
      <c r="J130" s="6">
        <f t="shared" si="29"/>
        <v>3.3415595316784877E-3</v>
      </c>
      <c r="K130" s="2"/>
      <c r="L130" s="2">
        <f t="shared" si="30"/>
        <v>957.29</v>
      </c>
      <c r="M130" s="2"/>
      <c r="N130" s="6">
        <f t="shared" si="31"/>
        <v>0.65522929500342231</v>
      </c>
      <c r="O130" s="14"/>
      <c r="P130" s="2">
        <f>SUM(OSRRefP22_20x_0)</f>
        <v>4895.9400000000005</v>
      </c>
      <c r="Q130" s="2"/>
      <c r="R130" s="6">
        <f t="shared" si="32"/>
        <v>6.9218093446815469E-4</v>
      </c>
      <c r="S130" s="2"/>
      <c r="T130" s="2">
        <f>SUM(OSRRefT22_20x_0)</f>
        <v>12405</v>
      </c>
      <c r="U130" s="2"/>
      <c r="V130" s="6">
        <f t="shared" si="33"/>
        <v>1.43052574733006E-3</v>
      </c>
      <c r="W130" s="2"/>
      <c r="X130" s="2">
        <f t="shared" si="34"/>
        <v>-7509.0599999999995</v>
      </c>
      <c r="Y130" s="2"/>
      <c r="Z130" s="6">
        <f t="shared" si="35"/>
        <v>-0.60532527206771458</v>
      </c>
    </row>
    <row r="131" spans="1:26" s="70" customFormat="1" ht="15" hidden="1" customHeight="1" outlineLevel="2" x14ac:dyDescent="0.3">
      <c r="A131" s="26"/>
      <c r="B131" s="12" t="str">
        <f>CONCATENATE("          ","6258"," - ","MEMBERSHIP DUES")</f>
        <v xml:space="preserve">          6258 - MEMBERSHIP DUES</v>
      </c>
      <c r="C131" s="12"/>
      <c r="D131" s="7">
        <v>510.65</v>
      </c>
      <c r="E131" s="3"/>
      <c r="F131" s="8">
        <f t="shared" si="28"/>
        <v>5.2270605842577285E-4</v>
      </c>
      <c r="G131" s="3"/>
      <c r="H131" s="7">
        <v>1300</v>
      </c>
      <c r="I131" s="3"/>
      <c r="J131" s="8">
        <f t="shared" si="29"/>
        <v>2.9733247030677848E-3</v>
      </c>
      <c r="K131" s="3"/>
      <c r="L131" s="7">
        <f t="shared" si="30"/>
        <v>-789.35</v>
      </c>
      <c r="M131" s="3"/>
      <c r="N131" s="8">
        <f t="shared" si="31"/>
        <v>-0.6071923076923077</v>
      </c>
      <c r="O131" s="12"/>
      <c r="P131" s="7">
        <v>2988.3</v>
      </c>
      <c r="Q131" s="3"/>
      <c r="R131" s="8">
        <f t="shared" si="32"/>
        <v>4.22481543170706E-4</v>
      </c>
      <c r="S131" s="3"/>
      <c r="T131" s="7">
        <v>9395</v>
      </c>
      <c r="U131" s="3"/>
      <c r="V131" s="8">
        <f t="shared" si="33"/>
        <v>1.0834171218190984E-3</v>
      </c>
      <c r="W131" s="3"/>
      <c r="X131" s="7">
        <f t="shared" si="34"/>
        <v>-6406.7</v>
      </c>
      <c r="Y131" s="3"/>
      <c r="Z131" s="8">
        <f t="shared" si="35"/>
        <v>-0.68192655667908464</v>
      </c>
    </row>
    <row r="132" spans="1:26" s="70" customFormat="1" ht="15" hidden="1" customHeight="1" outlineLevel="2" x14ac:dyDescent="0.3">
      <c r="A132" s="26"/>
      <c r="B132" s="12" t="str">
        <f>CONCATENATE("          ","6275"," - ","SUBSCRIPTIONS")</f>
        <v xml:space="preserve">          6275 - SUBSCRIPTIONS</v>
      </c>
      <c r="C132" s="12"/>
      <c r="D132" s="7">
        <v>1907.64</v>
      </c>
      <c r="E132" s="3"/>
      <c r="F132" s="8">
        <f t="shared" si="28"/>
        <v>1.9526779306674659E-3</v>
      </c>
      <c r="G132" s="3"/>
      <c r="H132" s="7">
        <v>161</v>
      </c>
      <c r="I132" s="3"/>
      <c r="J132" s="8">
        <f t="shared" si="29"/>
        <v>3.6823482861070262E-4</v>
      </c>
      <c r="K132" s="3"/>
      <c r="L132" s="7">
        <f t="shared" si="30"/>
        <v>1746.64</v>
      </c>
      <c r="M132" s="3"/>
      <c r="N132" s="8">
        <f t="shared" si="31"/>
        <v>10.848695652173914</v>
      </c>
      <c r="O132" s="12"/>
      <c r="P132" s="7">
        <v>1907.64</v>
      </c>
      <c r="Q132" s="3"/>
      <c r="R132" s="8">
        <f t="shared" si="32"/>
        <v>2.6969939129744858E-4</v>
      </c>
      <c r="S132" s="3"/>
      <c r="T132" s="7">
        <v>3010</v>
      </c>
      <c r="U132" s="3"/>
      <c r="V132" s="8">
        <f t="shared" si="33"/>
        <v>3.4710862551096176E-4</v>
      </c>
      <c r="W132" s="3"/>
      <c r="X132" s="7">
        <f t="shared" si="34"/>
        <v>-1102.3599999999999</v>
      </c>
      <c r="Y132" s="3"/>
      <c r="Z132" s="8">
        <f t="shared" si="35"/>
        <v>-0.36623255813953487</v>
      </c>
    </row>
    <row r="133" spans="1:26" s="69" customFormat="1" ht="15" customHeight="1" outlineLevel="1" collapsed="1" x14ac:dyDescent="0.3">
      <c r="A133" s="25"/>
      <c r="B133" s="14" t="str">
        <f>CONCATENATE("     ","Supplies                                          ")</f>
        <v xml:space="preserve">     Supplies                                          </v>
      </c>
      <c r="C133" s="14"/>
      <c r="D133" s="2">
        <f>SUM(OSRRefD22_21x_0)</f>
        <v>10705.91</v>
      </c>
      <c r="E133" s="2"/>
      <c r="F133" s="6">
        <f t="shared" si="28"/>
        <v>1.0958668399022944E-2</v>
      </c>
      <c r="G133" s="2"/>
      <c r="H133" s="2">
        <f>SUM(OSRRefH22_21x_0)</f>
        <v>12530</v>
      </c>
      <c r="I133" s="2"/>
      <c r="J133" s="6">
        <f t="shared" si="29"/>
        <v>2.8658275791876419E-2</v>
      </c>
      <c r="K133" s="2"/>
      <c r="L133" s="2">
        <f t="shared" si="30"/>
        <v>-1824.0900000000001</v>
      </c>
      <c r="M133" s="2"/>
      <c r="N133" s="6">
        <f t="shared" si="31"/>
        <v>-0.14557781324820432</v>
      </c>
      <c r="O133" s="14"/>
      <c r="P133" s="2">
        <f>SUM(OSRRefP22_21x_0)</f>
        <v>103466.47</v>
      </c>
      <c r="Q133" s="2"/>
      <c r="R133" s="6">
        <f t="shared" si="32"/>
        <v>1.4627940271065676E-2</v>
      </c>
      <c r="S133" s="2"/>
      <c r="T133" s="2">
        <f>SUM(OSRRefT22_21x_0)</f>
        <v>129080</v>
      </c>
      <c r="U133" s="2"/>
      <c r="V133" s="6">
        <f t="shared" si="33"/>
        <v>1.4885309428888686E-2</v>
      </c>
      <c r="W133" s="2"/>
      <c r="X133" s="2">
        <f t="shared" si="34"/>
        <v>-25613.53</v>
      </c>
      <c r="Y133" s="2"/>
      <c r="Z133" s="6">
        <f t="shared" si="35"/>
        <v>-0.19843143786798884</v>
      </c>
    </row>
    <row r="134" spans="1:26" s="70" customFormat="1" ht="15" hidden="1" customHeight="1" outlineLevel="2" x14ac:dyDescent="0.3">
      <c r="A134" s="26"/>
      <c r="B134" s="12" t="str">
        <f>CONCATENATE("          ","6234"," - ","EXPENDABLE SUPPLIES &amp; EQUIPMEN")</f>
        <v xml:space="preserve">          6234 - EXPENDABLE SUPPLIES &amp; EQUIPMEN</v>
      </c>
      <c r="C134" s="12"/>
      <c r="D134" s="7">
        <v>4993.3100000000004</v>
      </c>
      <c r="E134" s="3"/>
      <c r="F134" s="8">
        <f t="shared" si="28"/>
        <v>5.1111982543777463E-3</v>
      </c>
      <c r="G134" s="3"/>
      <c r="H134" s="7">
        <v>350</v>
      </c>
      <c r="I134" s="3"/>
      <c r="J134" s="8">
        <f t="shared" si="29"/>
        <v>8.0051049697978821E-4</v>
      </c>
      <c r="K134" s="3"/>
      <c r="L134" s="7">
        <f t="shared" si="30"/>
        <v>4643.3100000000004</v>
      </c>
      <c r="M134" s="3"/>
      <c r="N134" s="8">
        <f t="shared" si="31"/>
        <v>13.2666</v>
      </c>
      <c r="O134" s="12"/>
      <c r="P134" s="7">
        <v>11477.77</v>
      </c>
      <c r="Q134" s="3"/>
      <c r="R134" s="8">
        <f t="shared" si="32"/>
        <v>1.6227105651234596E-3</v>
      </c>
      <c r="S134" s="3"/>
      <c r="T134" s="7">
        <v>3150</v>
      </c>
      <c r="U134" s="3"/>
      <c r="V134" s="8">
        <f t="shared" si="33"/>
        <v>3.6325321274402976E-4</v>
      </c>
      <c r="W134" s="3"/>
      <c r="X134" s="7">
        <f t="shared" si="34"/>
        <v>8327.77</v>
      </c>
      <c r="Y134" s="3"/>
      <c r="Z134" s="8">
        <f t="shared" si="35"/>
        <v>2.6437365079365081</v>
      </c>
    </row>
    <row r="135" spans="1:26" s="70" customFormat="1" ht="15" hidden="1" customHeight="1" outlineLevel="2" x14ac:dyDescent="0.3">
      <c r="A135" s="26"/>
      <c r="B135" s="12" t="str">
        <f>CONCATENATE("          ","6235"," - ","COVID-19 EXPENSES")</f>
        <v xml:space="preserve">          6235 - COVID-19 EXPENSES</v>
      </c>
      <c r="C135" s="12"/>
      <c r="D135" s="7"/>
      <c r="E135" s="3"/>
      <c r="F135" s="8">
        <f t="shared" si="28"/>
        <v>0</v>
      </c>
      <c r="G135" s="3"/>
      <c r="H135" s="7">
        <v>125</v>
      </c>
      <c r="I135" s="3"/>
      <c r="J135" s="8">
        <f t="shared" si="29"/>
        <v>2.858966060642101E-4</v>
      </c>
      <c r="K135" s="3"/>
      <c r="L135" s="7">
        <f t="shared" si="30"/>
        <v>-125</v>
      </c>
      <c r="M135" s="3"/>
      <c r="N135" s="8">
        <f t="shared" si="31"/>
        <v>-1</v>
      </c>
      <c r="O135" s="12"/>
      <c r="P135" s="7">
        <v>3501.77</v>
      </c>
      <c r="Q135" s="3"/>
      <c r="R135" s="8">
        <f t="shared" si="32"/>
        <v>4.9507519105474124E-4</v>
      </c>
      <c r="S135" s="3"/>
      <c r="T135" s="7">
        <v>1250</v>
      </c>
      <c r="U135" s="3"/>
      <c r="V135" s="8">
        <f t="shared" si="33"/>
        <v>1.4414810029524992E-4</v>
      </c>
      <c r="W135" s="3"/>
      <c r="X135" s="7">
        <f t="shared" si="34"/>
        <v>2251.77</v>
      </c>
      <c r="Y135" s="3"/>
      <c r="Z135" s="8">
        <f t="shared" si="35"/>
        <v>1.8014159999999999</v>
      </c>
    </row>
    <row r="136" spans="1:26" s="70" customFormat="1" ht="15" hidden="1" customHeight="1" outlineLevel="2" x14ac:dyDescent="0.3">
      <c r="A136" s="26"/>
      <c r="B136" s="12" t="str">
        <f>CONCATENATE("          ","6237"," - ","JANITORIAL SUPPLIES")</f>
        <v xml:space="preserve">          6237 - JANITORIAL SUPPLIES</v>
      </c>
      <c r="C136" s="12"/>
      <c r="D136" s="7">
        <v>1456.86</v>
      </c>
      <c r="E136" s="3"/>
      <c r="F136" s="8">
        <f t="shared" si="28"/>
        <v>1.491255357442811E-3</v>
      </c>
      <c r="G136" s="3"/>
      <c r="H136" s="7">
        <v>60</v>
      </c>
      <c r="I136" s="3"/>
      <c r="J136" s="8">
        <f t="shared" si="29"/>
        <v>1.3723037091082084E-4</v>
      </c>
      <c r="K136" s="3"/>
      <c r="L136" s="7">
        <f t="shared" si="30"/>
        <v>1396.86</v>
      </c>
      <c r="M136" s="3"/>
      <c r="N136" s="8">
        <f t="shared" si="31"/>
        <v>23.280999999999999</v>
      </c>
      <c r="O136" s="12"/>
      <c r="P136" s="7">
        <v>7134.71</v>
      </c>
      <c r="Q136" s="3"/>
      <c r="R136" s="8">
        <f t="shared" si="32"/>
        <v>1.0086950074876912E-3</v>
      </c>
      <c r="S136" s="3"/>
      <c r="T136" s="7">
        <v>430</v>
      </c>
      <c r="U136" s="3"/>
      <c r="V136" s="8">
        <f t="shared" si="33"/>
        <v>4.9586946501565969E-5</v>
      </c>
      <c r="W136" s="3"/>
      <c r="X136" s="7">
        <f t="shared" si="34"/>
        <v>6704.71</v>
      </c>
      <c r="Y136" s="3"/>
      <c r="Z136" s="8">
        <f t="shared" si="35"/>
        <v>15.592348837209302</v>
      </c>
    </row>
    <row r="137" spans="1:26" s="70" customFormat="1" ht="15" hidden="1" customHeight="1" outlineLevel="2" x14ac:dyDescent="0.3">
      <c r="A137" s="26"/>
      <c r="B137" s="12" t="str">
        <f>CONCATENATE("          ","6241"," - ","OFFICE EXPENSE")</f>
        <v xml:space="preserve">          6241 - OFFICE EXPENSE</v>
      </c>
      <c r="C137" s="12"/>
      <c r="D137" s="7">
        <v>2289.85</v>
      </c>
      <c r="E137" s="3"/>
      <c r="F137" s="8">
        <f t="shared" si="28"/>
        <v>2.3439116183026653E-3</v>
      </c>
      <c r="G137" s="3"/>
      <c r="H137" s="7">
        <v>470</v>
      </c>
      <c r="I137" s="3"/>
      <c r="J137" s="8">
        <f t="shared" si="29"/>
        <v>1.0749712388014299E-3</v>
      </c>
      <c r="K137" s="3"/>
      <c r="L137" s="7">
        <f t="shared" si="30"/>
        <v>1819.85</v>
      </c>
      <c r="M137" s="3"/>
      <c r="N137" s="8">
        <f t="shared" si="31"/>
        <v>3.8720212765957447</v>
      </c>
      <c r="O137" s="12"/>
      <c r="P137" s="7">
        <v>17484.45</v>
      </c>
      <c r="Q137" s="3"/>
      <c r="R137" s="8">
        <f t="shared" si="32"/>
        <v>2.4719263184723927E-3</v>
      </c>
      <c r="S137" s="3"/>
      <c r="T137" s="7">
        <v>5950</v>
      </c>
      <c r="U137" s="3"/>
      <c r="V137" s="8">
        <f t="shared" si="33"/>
        <v>6.8614495740538953E-4</v>
      </c>
      <c r="W137" s="3"/>
      <c r="X137" s="7">
        <f t="shared" si="34"/>
        <v>11534.45</v>
      </c>
      <c r="Y137" s="3"/>
      <c r="Z137" s="8">
        <f t="shared" si="35"/>
        <v>1.9385630252100841</v>
      </c>
    </row>
    <row r="138" spans="1:26" s="70" customFormat="1" ht="15" hidden="1" customHeight="1" outlineLevel="2" x14ac:dyDescent="0.3">
      <c r="A138" s="26"/>
      <c r="B138" s="12" t="str">
        <f>CONCATENATE("          ","6243"," - ","PAPER SUPPLIES")</f>
        <v xml:space="preserve">          6243 - PAPER SUPPLIES</v>
      </c>
      <c r="C138" s="12"/>
      <c r="D138" s="7">
        <v>410.22</v>
      </c>
      <c r="E138" s="3"/>
      <c r="F138" s="8">
        <f t="shared" si="28"/>
        <v>4.1990498244868417E-4</v>
      </c>
      <c r="G138" s="3"/>
      <c r="H138" s="7">
        <v>4400</v>
      </c>
      <c r="I138" s="3"/>
      <c r="J138" s="8">
        <f t="shared" si="29"/>
        <v>1.0063560533460195E-2</v>
      </c>
      <c r="K138" s="3"/>
      <c r="L138" s="7">
        <f t="shared" si="30"/>
        <v>-3989.7799999999997</v>
      </c>
      <c r="M138" s="3"/>
      <c r="N138" s="8">
        <f t="shared" si="31"/>
        <v>-0.90676818181818175</v>
      </c>
      <c r="O138" s="12"/>
      <c r="P138" s="7">
        <v>7289.74</v>
      </c>
      <c r="Q138" s="3"/>
      <c r="R138" s="8">
        <f t="shared" si="32"/>
        <v>1.0306129252462008E-3</v>
      </c>
      <c r="S138" s="3"/>
      <c r="T138" s="7">
        <v>36350</v>
      </c>
      <c r="U138" s="3"/>
      <c r="V138" s="8">
        <f t="shared" si="33"/>
        <v>4.1918267565858669E-3</v>
      </c>
      <c r="W138" s="3"/>
      <c r="X138" s="7">
        <f t="shared" si="34"/>
        <v>-29060.260000000002</v>
      </c>
      <c r="Y138" s="3"/>
      <c r="Z138" s="8">
        <f t="shared" si="35"/>
        <v>-0.79945694635488318</v>
      </c>
    </row>
    <row r="139" spans="1:26" s="70" customFormat="1" ht="15" hidden="1" customHeight="1" outlineLevel="2" x14ac:dyDescent="0.3">
      <c r="A139" s="26"/>
      <c r="B139" s="12" t="str">
        <f>CONCATENATE("          ","6245"," - ","PRINTING")</f>
        <v xml:space="preserve">          6245 - PRINTING</v>
      </c>
      <c r="C139" s="12"/>
      <c r="D139" s="7">
        <v>-45.84</v>
      </c>
      <c r="E139" s="3"/>
      <c r="F139" s="8">
        <f t="shared" si="28"/>
        <v>-4.6922247563374974E-5</v>
      </c>
      <c r="G139" s="3"/>
      <c r="H139" s="7">
        <v>50</v>
      </c>
      <c r="I139" s="3"/>
      <c r="J139" s="8">
        <f t="shared" si="29"/>
        <v>1.1435864242568404E-4</v>
      </c>
      <c r="K139" s="3"/>
      <c r="L139" s="7">
        <f t="shared" si="30"/>
        <v>-95.84</v>
      </c>
      <c r="M139" s="3"/>
      <c r="N139" s="8">
        <f t="shared" si="31"/>
        <v>-1.9168000000000001</v>
      </c>
      <c r="O139" s="12"/>
      <c r="P139" s="7">
        <v>6940.68</v>
      </c>
      <c r="Q139" s="3"/>
      <c r="R139" s="8">
        <f t="shared" si="32"/>
        <v>9.8126332598937722E-4</v>
      </c>
      <c r="S139" s="3"/>
      <c r="T139" s="7">
        <v>8045</v>
      </c>
      <c r="U139" s="3"/>
      <c r="V139" s="8">
        <f t="shared" si="33"/>
        <v>9.2773717350022838E-4</v>
      </c>
      <c r="W139" s="3"/>
      <c r="X139" s="7">
        <f t="shared" si="34"/>
        <v>-1104.3199999999997</v>
      </c>
      <c r="Y139" s="3"/>
      <c r="Z139" s="8">
        <f t="shared" si="35"/>
        <v>-0.13726786824114354</v>
      </c>
    </row>
    <row r="140" spans="1:26" s="70" customFormat="1" ht="15" hidden="1" customHeight="1" outlineLevel="2" x14ac:dyDescent="0.3">
      <c r="A140" s="26"/>
      <c r="B140" s="12" t="str">
        <f>CONCATENATE("          ","6247"," - ","STORE SUPPLIES")</f>
        <v xml:space="preserve">          6247 - STORE SUPPLIES</v>
      </c>
      <c r="C140" s="12"/>
      <c r="D140" s="7">
        <v>1601.51</v>
      </c>
      <c r="E140" s="3"/>
      <c r="F140" s="8">
        <f t="shared" si="28"/>
        <v>1.6393204340144122E-3</v>
      </c>
      <c r="G140" s="3"/>
      <c r="H140" s="7">
        <v>7075</v>
      </c>
      <c r="I140" s="3"/>
      <c r="J140" s="8">
        <f t="shared" si="29"/>
        <v>1.6181747903234293E-2</v>
      </c>
      <c r="K140" s="3"/>
      <c r="L140" s="7">
        <f t="shared" si="30"/>
        <v>-5473.49</v>
      </c>
      <c r="M140" s="3"/>
      <c r="N140" s="8">
        <f t="shared" si="31"/>
        <v>-0.77363816254416962</v>
      </c>
      <c r="O140" s="12"/>
      <c r="P140" s="7">
        <v>49637.35</v>
      </c>
      <c r="Q140" s="3"/>
      <c r="R140" s="8">
        <f t="shared" si="32"/>
        <v>7.0176569376918119E-3</v>
      </c>
      <c r="S140" s="3"/>
      <c r="T140" s="7">
        <v>73905</v>
      </c>
      <c r="U140" s="3"/>
      <c r="V140" s="8">
        <f t="shared" si="33"/>
        <v>8.5226122818563548E-3</v>
      </c>
      <c r="W140" s="3"/>
      <c r="X140" s="7">
        <f t="shared" si="34"/>
        <v>-24267.65</v>
      </c>
      <c r="Y140" s="3"/>
      <c r="Z140" s="8">
        <f t="shared" si="35"/>
        <v>-0.32836276300656247</v>
      </c>
    </row>
    <row r="141" spans="1:26" s="69" customFormat="1" ht="15" customHeight="1" outlineLevel="1" collapsed="1" x14ac:dyDescent="0.3">
      <c r="A141" s="25"/>
      <c r="B141" s="14" t="str">
        <f>CONCATENATE("     ","Telephone/Data Lines                              ")</f>
        <v xml:space="preserve">     Telephone/Data Lines                              </v>
      </c>
      <c r="C141" s="14"/>
      <c r="D141" s="2">
        <f>SUM(OSRRefD22_22x_0)</f>
        <v>2606.94</v>
      </c>
      <c r="E141" s="2"/>
      <c r="F141" s="6">
        <f t="shared" si="28"/>
        <v>2.6684878722265434E-3</v>
      </c>
      <c r="G141" s="2"/>
      <c r="H141" s="2">
        <f>SUM(OSRRefH22_22x_0)</f>
        <v>1913</v>
      </c>
      <c r="I141" s="2"/>
      <c r="J141" s="6">
        <f t="shared" si="29"/>
        <v>4.3753616592066714E-3</v>
      </c>
      <c r="K141" s="2"/>
      <c r="L141" s="2">
        <f t="shared" si="30"/>
        <v>693.94</v>
      </c>
      <c r="M141" s="2"/>
      <c r="N141" s="6">
        <f t="shared" si="31"/>
        <v>0.36274960794563516</v>
      </c>
      <c r="O141" s="14"/>
      <c r="P141" s="2">
        <f>SUM(OSRRefP22_22x_0)</f>
        <v>20144.36</v>
      </c>
      <c r="Q141" s="2"/>
      <c r="R141" s="6">
        <f t="shared" si="32"/>
        <v>2.8479805571683709E-3</v>
      </c>
      <c r="S141" s="2"/>
      <c r="T141" s="2">
        <f>SUM(OSRRefT22_22x_0)</f>
        <v>19730</v>
      </c>
      <c r="U141" s="2"/>
      <c r="V141" s="6">
        <f t="shared" si="33"/>
        <v>2.2752336150602243E-3</v>
      </c>
      <c r="W141" s="2"/>
      <c r="X141" s="2">
        <f t="shared" si="34"/>
        <v>414.36000000000058</v>
      </c>
      <c r="Y141" s="2"/>
      <c r="Z141" s="6">
        <f t="shared" si="35"/>
        <v>2.1001520527116097E-2</v>
      </c>
    </row>
    <row r="142" spans="1:26" s="70" customFormat="1" ht="15" hidden="1" customHeight="1" outlineLevel="2" x14ac:dyDescent="0.3">
      <c r="A142" s="26"/>
      <c r="B142" s="12" t="str">
        <f>CONCATENATE("          ","6303"," - ","DATA PHONE LINES")</f>
        <v xml:space="preserve">          6303 - DATA PHONE LINES</v>
      </c>
      <c r="C142" s="12"/>
      <c r="D142" s="7"/>
      <c r="E142" s="3"/>
      <c r="F142" s="8">
        <f t="shared" si="28"/>
        <v>0</v>
      </c>
      <c r="G142" s="3"/>
      <c r="H142" s="7">
        <v>50</v>
      </c>
      <c r="I142" s="3"/>
      <c r="J142" s="8">
        <f t="shared" si="29"/>
        <v>1.1435864242568404E-4</v>
      </c>
      <c r="K142" s="3"/>
      <c r="L142" s="7">
        <f t="shared" si="30"/>
        <v>-50</v>
      </c>
      <c r="M142" s="3"/>
      <c r="N142" s="8">
        <f t="shared" si="31"/>
        <v>-1</v>
      </c>
      <c r="O142" s="12"/>
      <c r="P142" s="7">
        <v>295</v>
      </c>
      <c r="Q142" s="3"/>
      <c r="R142" s="8">
        <f t="shared" si="32"/>
        <v>4.1706674442110318E-5</v>
      </c>
      <c r="S142" s="3"/>
      <c r="T142" s="7">
        <v>500</v>
      </c>
      <c r="U142" s="3"/>
      <c r="V142" s="8">
        <f t="shared" si="33"/>
        <v>5.7659240118099962E-5</v>
      </c>
      <c r="W142" s="3"/>
      <c r="X142" s="7">
        <f t="shared" si="34"/>
        <v>-205</v>
      </c>
      <c r="Y142" s="3"/>
      <c r="Z142" s="8">
        <f t="shared" si="35"/>
        <v>-0.41</v>
      </c>
    </row>
    <row r="143" spans="1:26" s="70" customFormat="1" ht="15" hidden="1" customHeight="1" outlineLevel="2" x14ac:dyDescent="0.3">
      <c r="A143" s="26"/>
      <c r="B143" s="12" t="str">
        <f>CONCATENATE("          ","6309"," - ","TELEPHONE")</f>
        <v xml:space="preserve">          6309 - TELEPHONE</v>
      </c>
      <c r="C143" s="12"/>
      <c r="D143" s="7">
        <v>2606.94</v>
      </c>
      <c r="E143" s="3"/>
      <c r="F143" s="8">
        <f t="shared" si="28"/>
        <v>2.6684878722265434E-3</v>
      </c>
      <c r="G143" s="3"/>
      <c r="H143" s="7">
        <v>1863</v>
      </c>
      <c r="I143" s="3"/>
      <c r="J143" s="8">
        <f t="shared" si="29"/>
        <v>4.2610030167809874E-3</v>
      </c>
      <c r="K143" s="3"/>
      <c r="L143" s="7">
        <f t="shared" si="30"/>
        <v>743.94</v>
      </c>
      <c r="M143" s="3"/>
      <c r="N143" s="8">
        <f t="shared" si="31"/>
        <v>0.39932367149758458</v>
      </c>
      <c r="O143" s="12"/>
      <c r="P143" s="7">
        <v>19849.36</v>
      </c>
      <c r="Q143" s="3"/>
      <c r="R143" s="8">
        <f t="shared" si="32"/>
        <v>2.8062738827262608E-3</v>
      </c>
      <c r="S143" s="3"/>
      <c r="T143" s="7">
        <v>19230</v>
      </c>
      <c r="U143" s="3"/>
      <c r="V143" s="8">
        <f t="shared" si="33"/>
        <v>2.2175743749421246E-3</v>
      </c>
      <c r="W143" s="3"/>
      <c r="X143" s="7">
        <f t="shared" si="34"/>
        <v>619.36000000000058</v>
      </c>
      <c r="Y143" s="3"/>
      <c r="Z143" s="8">
        <f t="shared" si="35"/>
        <v>3.2208008320332847E-2</v>
      </c>
    </row>
    <row r="144" spans="1:26" s="69" customFormat="1" ht="15" customHeight="1" outlineLevel="1" collapsed="1" x14ac:dyDescent="0.3">
      <c r="A144" s="25"/>
      <c r="B144" s="14" t="str">
        <f>CONCATENATE("     ","Training                                          ")</f>
        <v xml:space="preserve">     Training                                          </v>
      </c>
      <c r="C144" s="14"/>
      <c r="D144" s="2">
        <f>SUM(OSRRefD22_23x_0)</f>
        <v>125</v>
      </c>
      <c r="E144" s="2"/>
      <c r="F144" s="6">
        <f t="shared" si="28"/>
        <v>1.2795115500484014E-4</v>
      </c>
      <c r="G144" s="2"/>
      <c r="H144" s="2">
        <f>SUM(OSRRefH22_23x_0)</f>
        <v>0</v>
      </c>
      <c r="I144" s="2"/>
      <c r="J144" s="6">
        <f t="shared" si="29"/>
        <v>0</v>
      </c>
      <c r="K144" s="2"/>
      <c r="L144" s="2">
        <f t="shared" si="30"/>
        <v>125</v>
      </c>
      <c r="M144" s="2"/>
      <c r="N144" s="6">
        <f t="shared" si="31"/>
        <v>0</v>
      </c>
      <c r="O144" s="14"/>
      <c r="P144" s="2">
        <f>SUM(OSRRefP22_23x_0)</f>
        <v>1539</v>
      </c>
      <c r="Q144" s="2"/>
      <c r="R144" s="6">
        <f t="shared" si="32"/>
        <v>2.1758159988612808E-4</v>
      </c>
      <c r="S144" s="2"/>
      <c r="T144" s="2">
        <f>SUM(OSRRefT22_23x_0)</f>
        <v>2150</v>
      </c>
      <c r="U144" s="2"/>
      <c r="V144" s="6">
        <f t="shared" si="33"/>
        <v>2.4793473250782984E-4</v>
      </c>
      <c r="W144" s="2"/>
      <c r="X144" s="2">
        <f t="shared" si="34"/>
        <v>-611</v>
      </c>
      <c r="Y144" s="2"/>
      <c r="Z144" s="6">
        <f t="shared" si="35"/>
        <v>-0.28418604651162793</v>
      </c>
    </row>
    <row r="145" spans="1:26" s="70" customFormat="1" ht="15" hidden="1" customHeight="1" outlineLevel="2" x14ac:dyDescent="0.3">
      <c r="A145" s="26"/>
      <c r="B145" s="12" t="str">
        <f>CONCATENATE("          ","6376"," - ","TRAINING")</f>
        <v xml:space="preserve">          6376 - TRAINING</v>
      </c>
      <c r="C145" s="12"/>
      <c r="D145" s="7">
        <v>125</v>
      </c>
      <c r="E145" s="3"/>
      <c r="F145" s="8">
        <f t="shared" si="28"/>
        <v>1.2795115500484014E-4</v>
      </c>
      <c r="G145" s="3"/>
      <c r="H145" s="7">
        <v>0</v>
      </c>
      <c r="I145" s="3"/>
      <c r="J145" s="8">
        <f t="shared" si="29"/>
        <v>0</v>
      </c>
      <c r="K145" s="3"/>
      <c r="L145" s="7">
        <f t="shared" si="30"/>
        <v>125</v>
      </c>
      <c r="M145" s="3"/>
      <c r="N145" s="8">
        <f t="shared" si="31"/>
        <v>0</v>
      </c>
      <c r="O145" s="12"/>
      <c r="P145" s="7">
        <v>1539</v>
      </c>
      <c r="Q145" s="3"/>
      <c r="R145" s="8">
        <f t="shared" si="32"/>
        <v>2.1758159988612808E-4</v>
      </c>
      <c r="S145" s="3"/>
      <c r="T145" s="7">
        <v>2150</v>
      </c>
      <c r="U145" s="3"/>
      <c r="V145" s="8">
        <f t="shared" si="33"/>
        <v>2.4793473250782984E-4</v>
      </c>
      <c r="W145" s="3"/>
      <c r="X145" s="7">
        <f t="shared" si="34"/>
        <v>-611</v>
      </c>
      <c r="Y145" s="3"/>
      <c r="Z145" s="8">
        <f t="shared" si="35"/>
        <v>-0.28418604651162793</v>
      </c>
    </row>
    <row r="146" spans="1:26" s="69" customFormat="1" ht="15" customHeight="1" outlineLevel="1" collapsed="1" x14ac:dyDescent="0.3">
      <c r="A146" s="25"/>
      <c r="B146" s="14" t="str">
        <f>CONCATENATE("     ","Travel                                            ")</f>
        <v xml:space="preserve">     Travel                                            </v>
      </c>
      <c r="C146" s="14"/>
      <c r="D146" s="2">
        <f>SUM(OSRRefD22_24x_0)</f>
        <v>149.41</v>
      </c>
      <c r="E146" s="2"/>
      <c r="F146" s="6">
        <f t="shared" si="28"/>
        <v>1.5293745655418532E-4</v>
      </c>
      <c r="G146" s="2"/>
      <c r="H146" s="2">
        <f>SUM(OSRRefH22_24x_0)</f>
        <v>175</v>
      </c>
      <c r="I146" s="2"/>
      <c r="J146" s="6">
        <f t="shared" si="29"/>
        <v>4.002552484898941E-4</v>
      </c>
      <c r="K146" s="2"/>
      <c r="L146" s="2">
        <f t="shared" si="30"/>
        <v>-25.590000000000003</v>
      </c>
      <c r="M146" s="2"/>
      <c r="N146" s="6">
        <f t="shared" si="31"/>
        <v>-0.14622857142857146</v>
      </c>
      <c r="O146" s="14"/>
      <c r="P146" s="2">
        <f>SUM(OSRRefP22_24x_0)</f>
        <v>1284.98</v>
      </c>
      <c r="Q146" s="2"/>
      <c r="R146" s="6">
        <f t="shared" si="32"/>
        <v>1.8166861872753531E-4</v>
      </c>
      <c r="S146" s="2"/>
      <c r="T146" s="2">
        <f>SUM(OSRRefT22_24x_0)</f>
        <v>2000</v>
      </c>
      <c r="U146" s="2"/>
      <c r="V146" s="6">
        <f t="shared" si="33"/>
        <v>2.3063696047239985E-4</v>
      </c>
      <c r="W146" s="2"/>
      <c r="X146" s="2">
        <f t="shared" si="34"/>
        <v>-715.02</v>
      </c>
      <c r="Y146" s="2"/>
      <c r="Z146" s="6">
        <f t="shared" si="35"/>
        <v>-0.35750999999999999</v>
      </c>
    </row>
    <row r="147" spans="1:26" s="70" customFormat="1" ht="15" hidden="1" customHeight="1" outlineLevel="2" x14ac:dyDescent="0.3">
      <c r="A147" s="26"/>
      <c r="B147" s="12" t="str">
        <f>CONCATENATE("          ","6292"," - ","TRAVEL/CONFERENCE")</f>
        <v xml:space="preserve">          6292 - TRAVEL/CONFERENCE</v>
      </c>
      <c r="C147" s="12"/>
      <c r="D147" s="7"/>
      <c r="E147" s="3"/>
      <c r="F147" s="8">
        <f t="shared" si="28"/>
        <v>0</v>
      </c>
      <c r="G147" s="3"/>
      <c r="H147" s="7">
        <v>125</v>
      </c>
      <c r="I147" s="3"/>
      <c r="J147" s="8">
        <f t="shared" si="29"/>
        <v>2.858966060642101E-4</v>
      </c>
      <c r="K147" s="3"/>
      <c r="L147" s="7">
        <f t="shared" si="30"/>
        <v>-125</v>
      </c>
      <c r="M147" s="3"/>
      <c r="N147" s="8">
        <f t="shared" si="31"/>
        <v>-1</v>
      </c>
      <c r="O147" s="12"/>
      <c r="P147" s="7">
        <v>495</v>
      </c>
      <c r="Q147" s="3"/>
      <c r="R147" s="8">
        <f t="shared" si="32"/>
        <v>6.99823859282868E-5</v>
      </c>
      <c r="S147" s="3"/>
      <c r="T147" s="7">
        <v>1250</v>
      </c>
      <c r="U147" s="3"/>
      <c r="V147" s="8">
        <f t="shared" si="33"/>
        <v>1.4414810029524992E-4</v>
      </c>
      <c r="W147" s="3"/>
      <c r="X147" s="7">
        <f t="shared" si="34"/>
        <v>-755</v>
      </c>
      <c r="Y147" s="3"/>
      <c r="Z147" s="8">
        <f t="shared" si="35"/>
        <v>-0.60399999999999998</v>
      </c>
    </row>
    <row r="148" spans="1:26" s="70" customFormat="1" ht="15" hidden="1" customHeight="1" outlineLevel="2" x14ac:dyDescent="0.3">
      <c r="A148" s="26"/>
      <c r="B148" s="12" t="str">
        <f>CONCATENATE("          ","6294"," - ","TRAVEL OPERATIONAL")</f>
        <v xml:space="preserve">          6294 - TRAVEL OPERATIONAL</v>
      </c>
      <c r="C148" s="12"/>
      <c r="D148" s="7"/>
      <c r="E148" s="3"/>
      <c r="F148" s="8">
        <f t="shared" si="28"/>
        <v>0</v>
      </c>
      <c r="G148" s="3"/>
      <c r="H148" s="7">
        <v>25</v>
      </c>
      <c r="I148" s="3"/>
      <c r="J148" s="8">
        <f t="shared" si="29"/>
        <v>5.717932121284202E-5</v>
      </c>
      <c r="K148" s="3"/>
      <c r="L148" s="7">
        <f t="shared" si="30"/>
        <v>-25</v>
      </c>
      <c r="M148" s="3"/>
      <c r="N148" s="8">
        <f t="shared" si="31"/>
        <v>-1</v>
      </c>
      <c r="O148" s="12"/>
      <c r="P148" s="7">
        <v>403.48</v>
      </c>
      <c r="Q148" s="3"/>
      <c r="R148" s="8">
        <f t="shared" si="32"/>
        <v>5.7043420352212445E-5</v>
      </c>
      <c r="S148" s="3"/>
      <c r="T148" s="7">
        <v>250</v>
      </c>
      <c r="U148" s="3"/>
      <c r="V148" s="8">
        <f t="shared" si="33"/>
        <v>2.8829620059049981E-5</v>
      </c>
      <c r="W148" s="3"/>
      <c r="X148" s="7">
        <f t="shared" si="34"/>
        <v>153.48000000000002</v>
      </c>
      <c r="Y148" s="3"/>
      <c r="Z148" s="8">
        <f t="shared" si="35"/>
        <v>0.61392000000000002</v>
      </c>
    </row>
    <row r="149" spans="1:26" s="70" customFormat="1" ht="15" hidden="1" customHeight="1" outlineLevel="2" x14ac:dyDescent="0.3">
      <c r="A149" s="26"/>
      <c r="B149" s="12" t="str">
        <f>CONCATENATE("          ","6298"," - ","VEHICLE MILEAGE")</f>
        <v xml:space="preserve">          6298 - VEHICLE MILEAGE</v>
      </c>
      <c r="C149" s="12"/>
      <c r="D149" s="7">
        <v>149.41</v>
      </c>
      <c r="E149" s="3"/>
      <c r="F149" s="8">
        <f t="shared" si="28"/>
        <v>1.5293745655418532E-4</v>
      </c>
      <c r="G149" s="3"/>
      <c r="H149" s="7">
        <v>25</v>
      </c>
      <c r="I149" s="3"/>
      <c r="J149" s="8">
        <f t="shared" si="29"/>
        <v>5.717932121284202E-5</v>
      </c>
      <c r="K149" s="3"/>
      <c r="L149" s="7">
        <f t="shared" si="30"/>
        <v>124.41</v>
      </c>
      <c r="M149" s="3"/>
      <c r="N149" s="8">
        <f t="shared" si="31"/>
        <v>4.9763999999999999</v>
      </c>
      <c r="O149" s="12"/>
      <c r="P149" s="7">
        <v>386.5</v>
      </c>
      <c r="Q149" s="3"/>
      <c r="R149" s="8">
        <f t="shared" si="32"/>
        <v>5.4642812447036062E-5</v>
      </c>
      <c r="S149" s="3"/>
      <c r="T149" s="7">
        <v>500</v>
      </c>
      <c r="U149" s="3"/>
      <c r="V149" s="8">
        <f t="shared" si="33"/>
        <v>5.7659240118099962E-5</v>
      </c>
      <c r="W149" s="3"/>
      <c r="X149" s="7">
        <f t="shared" si="34"/>
        <v>-113.5</v>
      </c>
      <c r="Y149" s="3"/>
      <c r="Z149" s="8">
        <f t="shared" si="35"/>
        <v>-0.22700000000000001</v>
      </c>
    </row>
    <row r="150" spans="1:26" s="69" customFormat="1" ht="15" customHeight="1" outlineLevel="1" collapsed="1" x14ac:dyDescent="0.3">
      <c r="A150" s="25"/>
      <c r="B150" s="14" t="str">
        <f>CONCATENATE("     ","Utilities                                         ")</f>
        <v xml:space="preserve">     Utilities                                         </v>
      </c>
      <c r="C150" s="14"/>
      <c r="D150" s="2">
        <f>SUM(OSRRefD22_25x_0)</f>
        <v>6354.32</v>
      </c>
      <c r="E150" s="2"/>
      <c r="F150" s="6">
        <f t="shared" si="28"/>
        <v>6.5043406661628453E-3</v>
      </c>
      <c r="G150" s="2"/>
      <c r="H150" s="2">
        <f>SUM(OSRRefH22_25x_0)</f>
        <v>6120</v>
      </c>
      <c r="I150" s="2"/>
      <c r="J150" s="6">
        <f t="shared" si="29"/>
        <v>1.3997497832903726E-2</v>
      </c>
      <c r="K150" s="2"/>
      <c r="L150" s="2">
        <f t="shared" si="30"/>
        <v>234.31999999999971</v>
      </c>
      <c r="M150" s="2"/>
      <c r="N150" s="6">
        <f t="shared" si="31"/>
        <v>3.828758169934636E-2</v>
      </c>
      <c r="O150" s="14"/>
      <c r="P150" s="2">
        <f>SUM(OSRRefP22_25x_0)</f>
        <v>56287.22</v>
      </c>
      <c r="Q150" s="2"/>
      <c r="R150" s="6">
        <f t="shared" si="32"/>
        <v>7.9578059653947139E-3</v>
      </c>
      <c r="S150" s="2"/>
      <c r="T150" s="2">
        <f>SUM(OSRRefT22_25x_0)</f>
        <v>63880</v>
      </c>
      <c r="U150" s="2"/>
      <c r="V150" s="6">
        <f t="shared" si="33"/>
        <v>7.3665445174884514E-3</v>
      </c>
      <c r="W150" s="2"/>
      <c r="X150" s="2">
        <f t="shared" si="34"/>
        <v>-7592.7799999999988</v>
      </c>
      <c r="Y150" s="2"/>
      <c r="Z150" s="6">
        <f t="shared" si="35"/>
        <v>-0.1188600500939261</v>
      </c>
    </row>
    <row r="151" spans="1:26" s="70" customFormat="1" ht="15" hidden="1" customHeight="1" outlineLevel="2" x14ac:dyDescent="0.3">
      <c r="A151" s="26"/>
      <c r="B151" s="12" t="str">
        <f>CONCATENATE("          ","6274"," - ","UTILITIES")</f>
        <v xml:space="preserve">          6274 - UTILITIES</v>
      </c>
      <c r="C151" s="12"/>
      <c r="D151" s="7">
        <v>6354.32</v>
      </c>
      <c r="E151" s="3"/>
      <c r="F151" s="8">
        <f t="shared" si="28"/>
        <v>6.5043406661628453E-3</v>
      </c>
      <c r="G151" s="3"/>
      <c r="H151" s="7">
        <v>6120</v>
      </c>
      <c r="I151" s="3"/>
      <c r="J151" s="8">
        <f t="shared" si="29"/>
        <v>1.3997497832903726E-2</v>
      </c>
      <c r="K151" s="3"/>
      <c r="L151" s="7">
        <f t="shared" si="30"/>
        <v>234.31999999999971</v>
      </c>
      <c r="M151" s="3"/>
      <c r="N151" s="8">
        <f t="shared" si="31"/>
        <v>3.828758169934636E-2</v>
      </c>
      <c r="O151" s="12"/>
      <c r="P151" s="7">
        <v>56287.22</v>
      </c>
      <c r="Q151" s="3"/>
      <c r="R151" s="8">
        <f t="shared" si="32"/>
        <v>7.9578059653947139E-3</v>
      </c>
      <c r="S151" s="3"/>
      <c r="T151" s="7">
        <v>63880</v>
      </c>
      <c r="U151" s="3"/>
      <c r="V151" s="8">
        <f t="shared" si="33"/>
        <v>7.3665445174884514E-3</v>
      </c>
      <c r="W151" s="3"/>
      <c r="X151" s="7">
        <f t="shared" si="34"/>
        <v>-7592.7799999999988</v>
      </c>
      <c r="Y151" s="3"/>
      <c r="Z151" s="8">
        <f t="shared" si="35"/>
        <v>-0.1188600500939261</v>
      </c>
    </row>
    <row r="152" spans="1:26" s="65" customFormat="1" ht="15" customHeight="1" x14ac:dyDescent="0.3">
      <c r="A152" s="35"/>
      <c r="B152" s="35"/>
      <c r="C152" s="35"/>
      <c r="D152" s="2"/>
      <c r="E152" s="2"/>
      <c r="F152" s="6"/>
      <c r="G152" s="2"/>
      <c r="H152" s="2"/>
      <c r="I152" s="2"/>
      <c r="J152" s="6"/>
      <c r="K152" s="2"/>
      <c r="L152" s="2"/>
      <c r="M152" s="2"/>
      <c r="N152" s="6"/>
      <c r="O152" s="35"/>
      <c r="P152" s="2"/>
      <c r="Q152" s="2"/>
      <c r="R152" s="6"/>
      <c r="S152" s="2"/>
      <c r="T152" s="2"/>
      <c r="U152" s="2"/>
      <c r="V152" s="6"/>
      <c r="W152" s="2"/>
      <c r="X152" s="2"/>
      <c r="Y152" s="2"/>
      <c r="Z152" s="6"/>
    </row>
    <row r="153" spans="1:26" s="63" customFormat="1" ht="15" customHeight="1" collapsed="1" x14ac:dyDescent="0.3">
      <c r="A153" s="11"/>
      <c r="B153" s="28" t="s">
        <v>291</v>
      </c>
      <c r="C153" s="11"/>
      <c r="D153" s="5">
        <f>SUM(OSRRefD25x_0)</f>
        <v>55053.770000000004</v>
      </c>
      <c r="E153" s="5"/>
      <c r="F153" s="13">
        <f t="shared" ref="F153:F158" si="36">IF(D$12=0,0,D153/D$12)</f>
        <v>5.6353547670966543E-2</v>
      </c>
      <c r="G153" s="5"/>
      <c r="H153" s="5">
        <f>SUM(OSRRefH25x_0)</f>
        <v>32626</v>
      </c>
      <c r="I153" s="5"/>
      <c r="J153" s="13">
        <f t="shared" ref="J153:J158" si="37">IF(H$12=0,0,H153/H$12)</f>
        <v>7.462130135560735E-2</v>
      </c>
      <c r="K153" s="5"/>
      <c r="L153" s="5">
        <f t="shared" ref="L153:L158" si="38">+D153-H153</f>
        <v>22427.770000000004</v>
      </c>
      <c r="M153" s="5"/>
      <c r="N153" s="13">
        <f t="shared" ref="N153:N158" si="39">IF(H153=0,0,L153/H153)</f>
        <v>0.6874201557040398</v>
      </c>
      <c r="O153" s="11"/>
      <c r="P153" s="5">
        <f>SUM(OSRRefP25x_0)</f>
        <v>965961.1100000001</v>
      </c>
      <c r="Q153" s="5"/>
      <c r="R153" s="13">
        <f t="shared" ref="R153:R158" si="40">IF(P$12=0,0,P153/P$12)</f>
        <v>0.13656618826613395</v>
      </c>
      <c r="S153" s="5"/>
      <c r="T153" s="5">
        <f>SUM(OSRRefT25x_0)</f>
        <v>737298.23</v>
      </c>
      <c r="U153" s="5"/>
      <c r="V153" s="13">
        <f t="shared" ref="V153:V158" si="41">IF(T$12=0,0,T153/T$12)</f>
        <v>8.5024111364440186E-2</v>
      </c>
      <c r="W153" s="5"/>
      <c r="X153" s="5">
        <f t="shared" ref="X153:X158" si="42">+P153-T153</f>
        <v>228662.88000000012</v>
      </c>
      <c r="Y153" s="5"/>
      <c r="Z153" s="13">
        <f t="shared" ref="Z153:Z158" si="43">IF(T153=0,0,X153/T153)</f>
        <v>0.31013621177416922</v>
      </c>
    </row>
    <row r="154" spans="1:26" s="70" customFormat="1" ht="15" hidden="1" customHeight="1" outlineLevel="1" x14ac:dyDescent="0.3">
      <c r="A154" s="42"/>
      <c r="B154" s="12" t="str">
        <f>CONCATENATE("          ","9150"," - ","MISC. INCOME")</f>
        <v xml:space="preserve">          9150 - MISC. INCOME</v>
      </c>
      <c r="C154" s="12"/>
      <c r="D154" s="3">
        <f>--53560.86</f>
        <v>53560.86</v>
      </c>
      <c r="E154" s="3"/>
      <c r="F154" s="20">
        <f t="shared" si="36"/>
        <v>5.4825391200420334E-2</v>
      </c>
      <c r="G154" s="3"/>
      <c r="H154" s="3">
        <v>32626</v>
      </c>
      <c r="I154" s="3"/>
      <c r="J154" s="20">
        <f t="shared" si="37"/>
        <v>7.462130135560735E-2</v>
      </c>
      <c r="K154" s="3"/>
      <c r="L154" s="3">
        <f t="shared" si="38"/>
        <v>20934.86</v>
      </c>
      <c r="M154" s="3"/>
      <c r="N154" s="20">
        <f t="shared" si="39"/>
        <v>0.64166186477042852</v>
      </c>
      <c r="O154" s="12"/>
      <c r="P154" s="3">
        <f>--381491.28</f>
        <v>381491.28</v>
      </c>
      <c r="Q154" s="3"/>
      <c r="R154" s="20">
        <f t="shared" si="40"/>
        <v>5.3934686838860858E-2</v>
      </c>
      <c r="S154" s="3"/>
      <c r="T154" s="3">
        <v>163770</v>
      </c>
      <c r="U154" s="3"/>
      <c r="V154" s="20">
        <f t="shared" si="41"/>
        <v>1.8885707508282463E-2</v>
      </c>
      <c r="W154" s="3"/>
      <c r="X154" s="3">
        <f t="shared" si="42"/>
        <v>217721.28000000003</v>
      </c>
      <c r="Y154" s="3"/>
      <c r="Z154" s="20">
        <f t="shared" si="43"/>
        <v>1.3294332295292179</v>
      </c>
    </row>
    <row r="155" spans="1:26" s="70" customFormat="1" ht="15" hidden="1" customHeight="1" outlineLevel="1" x14ac:dyDescent="0.3">
      <c r="A155" s="42"/>
      <c r="B155" s="12" t="str">
        <f>CONCATENATE("          ","9151"," - ","MISC. INCOME")</f>
        <v xml:space="preserve">          9151 - MISC. INCOME</v>
      </c>
      <c r="C155" s="12"/>
      <c r="D155" s="3">
        <f>0</f>
        <v>0</v>
      </c>
      <c r="E155" s="3"/>
      <c r="F155" s="20">
        <f t="shared" si="36"/>
        <v>0</v>
      </c>
      <c r="G155" s="3"/>
      <c r="H155" s="3"/>
      <c r="I155" s="3"/>
      <c r="J155" s="20">
        <f t="shared" si="37"/>
        <v>0</v>
      </c>
      <c r="K155" s="3"/>
      <c r="L155" s="3">
        <f t="shared" si="38"/>
        <v>0</v>
      </c>
      <c r="M155" s="3"/>
      <c r="N155" s="20">
        <f t="shared" si="39"/>
        <v>0</v>
      </c>
      <c r="O155" s="12"/>
      <c r="P155" s="3">
        <f>--323761.7</f>
        <v>323761.7</v>
      </c>
      <c r="Q155" s="3"/>
      <c r="R155" s="20">
        <f t="shared" si="40"/>
        <v>4.5772962097370133E-2</v>
      </c>
      <c r="S155" s="3"/>
      <c r="T155" s="3">
        <v>456862.23</v>
      </c>
      <c r="U155" s="3"/>
      <c r="V155" s="20">
        <f t="shared" si="41"/>
        <v>5.268465804092122E-2</v>
      </c>
      <c r="W155" s="3"/>
      <c r="X155" s="3">
        <f t="shared" si="42"/>
        <v>-133100.52999999997</v>
      </c>
      <c r="Y155" s="3"/>
      <c r="Z155" s="20">
        <f t="shared" si="43"/>
        <v>-0.29133625250658163</v>
      </c>
    </row>
    <row r="156" spans="1:26" s="70" customFormat="1" ht="15" hidden="1" customHeight="1" outlineLevel="1" x14ac:dyDescent="0.3">
      <c r="A156" s="42"/>
      <c r="B156" s="12" t="str">
        <f>CONCATENATE("          ","9152"," - ","MISC. INCOME")</f>
        <v xml:space="preserve">          9152 - MISC. INCOME</v>
      </c>
      <c r="C156" s="12"/>
      <c r="D156" s="3">
        <f>-496.09</f>
        <v>-496.09</v>
      </c>
      <c r="E156" s="3"/>
      <c r="F156" s="20">
        <f t="shared" si="36"/>
        <v>-5.0780230789080911E-4</v>
      </c>
      <c r="G156" s="3"/>
      <c r="H156" s="3"/>
      <c r="I156" s="3"/>
      <c r="J156" s="20">
        <f t="shared" si="37"/>
        <v>0</v>
      </c>
      <c r="K156" s="3"/>
      <c r="L156" s="3">
        <f t="shared" si="38"/>
        <v>-496.09</v>
      </c>
      <c r="M156" s="3"/>
      <c r="N156" s="20">
        <f t="shared" si="39"/>
        <v>0</v>
      </c>
      <c r="O156" s="12"/>
      <c r="P156" s="3">
        <f>--3888.43</f>
        <v>3888.43</v>
      </c>
      <c r="Q156" s="3"/>
      <c r="R156" s="20">
        <f t="shared" si="40"/>
        <v>5.4974062407096619E-4</v>
      </c>
      <c r="S156" s="3"/>
      <c r="T156" s="3"/>
      <c r="U156" s="3"/>
      <c r="V156" s="20">
        <f t="shared" si="41"/>
        <v>0</v>
      </c>
      <c r="W156" s="3"/>
      <c r="X156" s="3">
        <f t="shared" si="42"/>
        <v>3888.43</v>
      </c>
      <c r="Y156" s="3"/>
      <c r="Z156" s="20">
        <f t="shared" si="43"/>
        <v>0</v>
      </c>
    </row>
    <row r="157" spans="1:26" s="70" customFormat="1" ht="15" hidden="1" customHeight="1" outlineLevel="1" x14ac:dyDescent="0.3">
      <c r="A157" s="42"/>
      <c r="B157" s="12" t="str">
        <f>CONCATENATE("          ","9160"," - ","MISC. INCOME")</f>
        <v xml:space="preserve">          9160 - MISC. INCOME</v>
      </c>
      <c r="C157" s="12"/>
      <c r="D157" s="3">
        <f>0</f>
        <v>0</v>
      </c>
      <c r="E157" s="3"/>
      <c r="F157" s="20">
        <f t="shared" si="36"/>
        <v>0</v>
      </c>
      <c r="G157" s="3"/>
      <c r="H157" s="3">
        <v>0</v>
      </c>
      <c r="I157" s="3"/>
      <c r="J157" s="20">
        <f t="shared" si="37"/>
        <v>0</v>
      </c>
      <c r="K157" s="3"/>
      <c r="L157" s="3">
        <f t="shared" si="38"/>
        <v>0</v>
      </c>
      <c r="M157" s="3"/>
      <c r="N157" s="20">
        <f t="shared" si="39"/>
        <v>0</v>
      </c>
      <c r="O157" s="12"/>
      <c r="P157" s="3">
        <f>0</f>
        <v>0</v>
      </c>
      <c r="Q157" s="3"/>
      <c r="R157" s="20">
        <f t="shared" si="40"/>
        <v>0</v>
      </c>
      <c r="S157" s="3"/>
      <c r="T157" s="3">
        <v>116666</v>
      </c>
      <c r="U157" s="3"/>
      <c r="V157" s="20">
        <f t="shared" si="41"/>
        <v>1.3453745815236501E-2</v>
      </c>
      <c r="W157" s="3"/>
      <c r="X157" s="3">
        <f t="shared" si="42"/>
        <v>-116666</v>
      </c>
      <c r="Y157" s="3"/>
      <c r="Z157" s="20">
        <f t="shared" si="43"/>
        <v>-1</v>
      </c>
    </row>
    <row r="158" spans="1:26" s="70" customFormat="1" ht="15" hidden="1" customHeight="1" outlineLevel="1" x14ac:dyDescent="0.3">
      <c r="A158" s="42"/>
      <c r="B158" s="12" t="str">
        <f>CONCATENATE("          ","9163"," - ","MISC. INCOME")</f>
        <v xml:space="preserve">          9163 - MISC. INCOME</v>
      </c>
      <c r="C158" s="12"/>
      <c r="D158" s="3">
        <f>--1989</f>
        <v>1989</v>
      </c>
      <c r="E158" s="3"/>
      <c r="F158" s="20">
        <f t="shared" si="36"/>
        <v>2.0359587784370163E-3</v>
      </c>
      <c r="G158" s="3"/>
      <c r="H158" s="3"/>
      <c r="I158" s="3"/>
      <c r="J158" s="20">
        <f t="shared" si="37"/>
        <v>0</v>
      </c>
      <c r="K158" s="3"/>
      <c r="L158" s="3">
        <f t="shared" si="38"/>
        <v>1989</v>
      </c>
      <c r="M158" s="3"/>
      <c r="N158" s="20">
        <f t="shared" si="39"/>
        <v>0</v>
      </c>
      <c r="O158" s="12"/>
      <c r="P158" s="3">
        <f>--256819.7</f>
        <v>256819.7</v>
      </c>
      <c r="Q158" s="3"/>
      <c r="R158" s="20">
        <f t="shared" si="40"/>
        <v>3.6308798705832E-2</v>
      </c>
      <c r="S158" s="3"/>
      <c r="T158" s="3"/>
      <c r="U158" s="3"/>
      <c r="V158" s="20">
        <f t="shared" si="41"/>
        <v>0</v>
      </c>
      <c r="W158" s="3"/>
      <c r="X158" s="3">
        <f t="shared" si="42"/>
        <v>256819.7</v>
      </c>
      <c r="Y158" s="3"/>
      <c r="Z158" s="20">
        <f t="shared" si="43"/>
        <v>0</v>
      </c>
    </row>
    <row r="159" spans="1:26" ht="15" customHeight="1" x14ac:dyDescent="0.3">
      <c r="A159" s="10"/>
      <c r="B159" s="11"/>
      <c r="C159" s="11"/>
      <c r="D159" s="4"/>
      <c r="E159" s="4"/>
      <c r="F159" s="9"/>
      <c r="G159" s="4"/>
      <c r="H159" s="4"/>
      <c r="I159" s="4"/>
      <c r="J159" s="9"/>
      <c r="K159" s="4"/>
      <c r="L159" s="4"/>
      <c r="M159" s="4"/>
      <c r="N159" s="9"/>
      <c r="O159" s="11"/>
      <c r="P159" s="4"/>
      <c r="Q159" s="4"/>
      <c r="R159" s="9"/>
      <c r="S159" s="4"/>
      <c r="T159" s="4"/>
      <c r="U159" s="4"/>
      <c r="V159" s="9"/>
      <c r="W159" s="4"/>
      <c r="X159" s="4"/>
      <c r="Y159" s="4"/>
      <c r="Z159" s="9"/>
    </row>
    <row r="160" spans="1:26" s="63" customFormat="1" ht="15" customHeight="1" x14ac:dyDescent="0.3">
      <c r="A160" s="11"/>
      <c r="B160" s="27" t="s">
        <v>292</v>
      </c>
      <c r="C160" s="27"/>
      <c r="D160" s="21">
        <f>+D56-D58+D153</f>
        <v>182378.08000000019</v>
      </c>
      <c r="E160" s="15"/>
      <c r="F160" s="23">
        <f>IF(D$12=0,0,D160/D$12)</f>
        <v>0.18668388786852128</v>
      </c>
      <c r="G160" s="15"/>
      <c r="H160" s="21">
        <f>+H56-H58+H153</f>
        <v>-101447.93499389105</v>
      </c>
      <c r="I160" s="15"/>
      <c r="J160" s="23">
        <f>IF(H$12=0,0,H160/H$12)</f>
        <v>-0.23202896245580851</v>
      </c>
      <c r="K160" s="17"/>
      <c r="L160" s="21">
        <f>+D160-H160</f>
        <v>283826.01499389124</v>
      </c>
      <c r="M160" s="17"/>
      <c r="N160" s="23">
        <f>IF(H160=0,0,L160/H160)</f>
        <v>-2.7977505408166521</v>
      </c>
      <c r="O160" s="28"/>
      <c r="P160" s="21">
        <f>+P56-P58+P153</f>
        <v>610808.55000000005</v>
      </c>
      <c r="Q160" s="15"/>
      <c r="R160" s="23">
        <f>IF(P$12=0,0,P160/P$12)</f>
        <v>8.6355231665449034E-2</v>
      </c>
      <c r="S160" s="15"/>
      <c r="T160" s="21">
        <f>+T56-T58+T153</f>
        <v>398355.34955171589</v>
      </c>
      <c r="U160" s="15"/>
      <c r="V160" s="23">
        <f>IF(T$12=0,0,T160/T$12)</f>
        <v>4.5937733504264062E-2</v>
      </c>
      <c r="W160" s="17"/>
      <c r="X160" s="21">
        <f>+P160-T160</f>
        <v>212453.20044828416</v>
      </c>
      <c r="Y160" s="17"/>
      <c r="Z160" s="23">
        <f>IF(T160=0,0,X160/T160)</f>
        <v>0.5333258375652935</v>
      </c>
    </row>
    <row r="161" spans="1:26" ht="15" customHeight="1" x14ac:dyDescent="0.3">
      <c r="A161" s="10"/>
      <c r="B161" s="11"/>
      <c r="C161" s="10"/>
      <c r="D161" s="4"/>
      <c r="E161" s="4"/>
      <c r="F161" s="9"/>
      <c r="G161" s="4"/>
      <c r="H161" s="4"/>
      <c r="I161" s="4"/>
      <c r="J161" s="9"/>
      <c r="K161" s="4"/>
      <c r="L161" s="4"/>
      <c r="M161" s="4"/>
      <c r="N161" s="9"/>
      <c r="P161" s="4"/>
      <c r="Q161" s="4"/>
      <c r="R161" s="9"/>
      <c r="S161" s="4"/>
      <c r="T161" s="4"/>
      <c r="U161" s="4"/>
      <c r="V161" s="9"/>
      <c r="W161" s="4"/>
      <c r="X161" s="4"/>
      <c r="Y161" s="4"/>
      <c r="Z161" s="9"/>
    </row>
    <row r="162" spans="1:26" s="63" customFormat="1" ht="15" customHeight="1" x14ac:dyDescent="0.3">
      <c r="A162" s="49"/>
      <c r="B162" s="11" t="s">
        <v>293</v>
      </c>
      <c r="C162" s="11"/>
      <c r="D162" s="5">
        <v>73705.25</v>
      </c>
      <c r="E162" s="5"/>
      <c r="F162" s="13">
        <f>IF(D$12=0,0,D162/D$12)</f>
        <v>7.5445374939363943E-2</v>
      </c>
      <c r="G162" s="5"/>
      <c r="H162" s="5">
        <v>63937</v>
      </c>
      <c r="I162" s="5"/>
      <c r="J162" s="13">
        <f>IF(H$12=0,0,H162/H$12)</f>
        <v>0.14623497041541919</v>
      </c>
      <c r="K162" s="5"/>
      <c r="L162" s="5">
        <f>+D162-H162</f>
        <v>9768.25</v>
      </c>
      <c r="M162" s="5"/>
      <c r="N162" s="13">
        <f>IF(H162=0,0,L162/H162)</f>
        <v>0.15277929837183477</v>
      </c>
      <c r="O162" s="11"/>
      <c r="P162" s="5">
        <v>801280.48</v>
      </c>
      <c r="Q162" s="5"/>
      <c r="R162" s="13">
        <f>IF(P$12=0,0,P162/P$12)</f>
        <v>0.11328387835992504</v>
      </c>
      <c r="S162" s="5"/>
      <c r="T162" s="5">
        <v>1066737</v>
      </c>
      <c r="U162" s="5"/>
      <c r="V162" s="13">
        <f>IF(T$12=0,0,T162/T$12)</f>
        <v>0.12301448965172319</v>
      </c>
      <c r="W162" s="5"/>
      <c r="X162" s="5">
        <f>+P162-T162</f>
        <v>-265456.52</v>
      </c>
      <c r="Y162" s="5"/>
      <c r="Z162" s="13">
        <f>IF(T162=0,0,X162/T162)</f>
        <v>-0.24884907901385253</v>
      </c>
    </row>
    <row r="163" spans="1:26" ht="15" customHeight="1" x14ac:dyDescent="0.3">
      <c r="A163" s="10"/>
      <c r="B163" s="11"/>
      <c r="C163" s="11"/>
      <c r="D163" s="4"/>
      <c r="E163" s="4"/>
      <c r="F163" s="9"/>
      <c r="G163" s="4"/>
      <c r="H163" s="4"/>
      <c r="I163" s="4"/>
      <c r="J163" s="9"/>
      <c r="K163" s="4"/>
      <c r="L163" s="4"/>
      <c r="M163" s="4"/>
      <c r="N163" s="9"/>
      <c r="O163" s="11"/>
      <c r="P163" s="4"/>
      <c r="Q163" s="4"/>
      <c r="R163" s="9"/>
      <c r="S163" s="4"/>
      <c r="T163" s="4"/>
      <c r="U163" s="4"/>
      <c r="V163" s="9"/>
      <c r="W163" s="4"/>
      <c r="X163" s="4"/>
      <c r="Y163" s="4"/>
      <c r="Z163" s="9"/>
    </row>
    <row r="164" spans="1:26" s="63" customFormat="1" ht="15" customHeight="1" x14ac:dyDescent="0.3">
      <c r="A164" s="11"/>
      <c r="B164" s="27" t="s">
        <v>294</v>
      </c>
      <c r="C164" s="27"/>
      <c r="D164" s="29">
        <f>+D160-D162</f>
        <v>108672.83000000019</v>
      </c>
      <c r="E164" s="15"/>
      <c r="F164" s="30">
        <f>IF(D$12=0,0,D164/D$12)</f>
        <v>0.11123851292915732</v>
      </c>
      <c r="G164" s="15"/>
      <c r="H164" s="29">
        <f>+H160-H162</f>
        <v>-165384.93499389105</v>
      </c>
      <c r="I164" s="15"/>
      <c r="J164" s="30">
        <f>IF(H$12=0,0,H164/H$12)</f>
        <v>-0.37826393287122767</v>
      </c>
      <c r="K164" s="17"/>
      <c r="L164" s="29">
        <f>D164-H164</f>
        <v>274057.76499389124</v>
      </c>
      <c r="M164" s="17"/>
      <c r="N164" s="30">
        <f>IF(H164=0,0,L164/H164)</f>
        <v>-1.6570902603916997</v>
      </c>
      <c r="O164" s="28"/>
      <c r="P164" s="29">
        <f>+P160-P162</f>
        <v>-190471.92999999993</v>
      </c>
      <c r="Q164" s="15"/>
      <c r="R164" s="30">
        <f>IF(P$12=0,0,P164/P$12)</f>
        <v>-2.6928646694476012E-2</v>
      </c>
      <c r="S164" s="15"/>
      <c r="T164" s="29">
        <f>+T160-T162</f>
        <v>-668381.65044828411</v>
      </c>
      <c r="U164" s="15"/>
      <c r="V164" s="30">
        <f>IF(T$12=0,0,T164/T$12)</f>
        <v>-7.7076756147459138E-2</v>
      </c>
      <c r="W164" s="17"/>
      <c r="X164" s="29">
        <f>P164-T164</f>
        <v>477909.72044828418</v>
      </c>
      <c r="Y164" s="17"/>
      <c r="Z164" s="30">
        <f>IF(T164=0,0,X164/T164)</f>
        <v>-0.71502519575118462</v>
      </c>
    </row>
    <row r="165" spans="1:26" ht="15" customHeight="1" x14ac:dyDescent="0.3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ht="15" customHeight="1" x14ac:dyDescent="0.3">
      <c r="A166" s="10"/>
      <c r="B166" s="10"/>
      <c r="C166" s="10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3" customFormat="1" ht="15" customHeight="1" x14ac:dyDescent="0.3">
      <c r="A167" s="11"/>
      <c r="B167" s="27" t="s">
        <v>297</v>
      </c>
      <c r="C167" s="27"/>
      <c r="D167" s="32">
        <f>SUM(D164:D166)</f>
        <v>108672.83000000019</v>
      </c>
      <c r="E167" s="15"/>
      <c r="F167" s="34">
        <f>IF(D$12=0,0,D167/D$12)</f>
        <v>0.11123851292915732</v>
      </c>
      <c r="G167" s="15"/>
      <c r="H167" s="32">
        <f>SUM(H164:H166)</f>
        <v>-165384.93499389105</v>
      </c>
      <c r="I167" s="15"/>
      <c r="J167" s="34">
        <f>IF(H$12=0,0,H167/H$12)</f>
        <v>-0.37826393287122767</v>
      </c>
      <c r="K167" s="17"/>
      <c r="L167" s="32">
        <f>+D167-H167</f>
        <v>274057.76499389124</v>
      </c>
      <c r="M167" s="17"/>
      <c r="N167" s="34">
        <f>IF(H167=0,0,L167/H167)</f>
        <v>-1.6570902603916997</v>
      </c>
      <c r="O167" s="28"/>
      <c r="P167" s="32">
        <f>SUM(P164:P166)</f>
        <v>-190471.92999999993</v>
      </c>
      <c r="Q167" s="15"/>
      <c r="R167" s="34">
        <f>IF(P$12=0,0,P167/P$12)</f>
        <v>-2.6928646694476012E-2</v>
      </c>
      <c r="S167" s="15"/>
      <c r="T167" s="32">
        <f>SUM(T164:T166)</f>
        <v>-668381.65044828411</v>
      </c>
      <c r="U167" s="15"/>
      <c r="V167" s="34">
        <f>IF(T$12=0,0,T167/T$12)</f>
        <v>-7.7076756147459138E-2</v>
      </c>
      <c r="W167" s="17"/>
      <c r="X167" s="32">
        <f>+P167-T167</f>
        <v>477909.72044828418</v>
      </c>
      <c r="Y167" s="17"/>
      <c r="Z167" s="34">
        <f>IF(T167=0,0,X167/T167)</f>
        <v>-0.71502519575118462</v>
      </c>
    </row>
    <row r="168" spans="1:26" ht="15" customHeight="1" x14ac:dyDescent="0.3">
      <c r="A168" s="10"/>
      <c r="C168" s="10"/>
      <c r="D168" s="19"/>
      <c r="E168" s="19"/>
      <c r="G168" s="19"/>
      <c r="H168" s="19"/>
      <c r="I168" s="19"/>
      <c r="J168" s="40"/>
      <c r="K168" s="19"/>
      <c r="L168" s="19"/>
      <c r="M168" s="19"/>
      <c r="P168" s="19"/>
      <c r="Q168" s="19"/>
      <c r="R168" s="40"/>
      <c r="S168" s="19"/>
      <c r="T168" s="19"/>
      <c r="U168" s="19"/>
      <c r="V168" s="40"/>
      <c r="W168" s="19"/>
      <c r="X168" s="19"/>
    </row>
    <row r="169" spans="1:26" ht="15" customHeight="1" x14ac:dyDescent="0.3">
      <c r="A169" s="10"/>
      <c r="B169" s="56">
        <v>44694.888542673609</v>
      </c>
      <c r="D169" s="19"/>
      <c r="E169" s="19"/>
      <c r="G169" s="19"/>
      <c r="H169" s="19"/>
      <c r="I169" s="19"/>
      <c r="J169" s="40"/>
      <c r="K169" s="19"/>
      <c r="L169" s="19"/>
      <c r="M169" s="19"/>
      <c r="P169" s="19"/>
      <c r="Q169" s="19"/>
      <c r="R169" s="40"/>
      <c r="S169" s="19"/>
      <c r="T169" s="19"/>
      <c r="U169" s="19"/>
      <c r="V169" s="40"/>
      <c r="W169" s="19"/>
      <c r="X169" s="19"/>
    </row>
    <row r="170" spans="1:26" ht="15" customHeight="1" x14ac:dyDescent="0.3">
      <c r="A170" s="10"/>
      <c r="B170" s="50" t="s">
        <v>298</v>
      </c>
      <c r="D170" s="19"/>
      <c r="E170" s="19"/>
      <c r="G170" s="19"/>
      <c r="H170" s="19"/>
      <c r="I170" s="19"/>
      <c r="J170" s="40"/>
      <c r="K170" s="19"/>
      <c r="L170" s="19"/>
      <c r="M170" s="19"/>
      <c r="P170" s="19"/>
      <c r="Q170" s="19"/>
      <c r="R170" s="40"/>
      <c r="S170" s="19"/>
      <c r="T170" s="19"/>
      <c r="U170" s="19"/>
      <c r="V170" s="40"/>
      <c r="W170" s="19"/>
      <c r="X170" s="19"/>
    </row>
    <row r="171" spans="1:26" ht="15" customHeight="1" x14ac:dyDescent="0.3">
      <c r="A171" s="10"/>
      <c r="B171" s="51"/>
      <c r="D171" s="19"/>
      <c r="E171" s="19"/>
      <c r="G171" s="19"/>
      <c r="H171" s="19"/>
      <c r="I171" s="19"/>
      <c r="J171" s="40"/>
      <c r="K171" s="19"/>
      <c r="L171" s="19"/>
      <c r="M171" s="19"/>
      <c r="P171" s="19"/>
      <c r="Q171" s="19"/>
      <c r="R171" s="40"/>
      <c r="S171" s="19"/>
      <c r="T171" s="19"/>
      <c r="U171" s="19"/>
      <c r="V171" s="40"/>
      <c r="W171" s="19"/>
      <c r="X171" s="19"/>
    </row>
    <row r="172" spans="1:26" ht="15" customHeight="1" x14ac:dyDescent="0.3">
      <c r="D172" s="19"/>
      <c r="E172" s="19"/>
      <c r="G172" s="19"/>
      <c r="H172" s="19"/>
      <c r="I172" s="19"/>
      <c r="J172" s="40"/>
      <c r="K172" s="19"/>
      <c r="L172" s="19"/>
      <c r="M172" s="19"/>
      <c r="P172" s="19"/>
      <c r="Q172" s="19"/>
      <c r="R172" s="40"/>
      <c r="S172" s="19"/>
      <c r="T172" s="19"/>
      <c r="U172" s="19"/>
      <c r="V172" s="40"/>
      <c r="W172" s="19"/>
      <c r="X17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6C43A-4D51-3C56-5A24-80BF3CD06CDE}">
  <sheetPr>
    <tabColor rgb="FFFFFF00"/>
    <outlinePr summaryBelow="0" summaryRight="0"/>
  </sheetPr>
  <dimension ref="A2:Z163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302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873430.3899999999</v>
      </c>
      <c r="E12" s="5"/>
      <c r="F12" s="13"/>
      <c r="G12" s="5"/>
      <c r="H12" s="5">
        <f>SUM(OSRRefH13x_0)</f>
        <v>353142</v>
      </c>
      <c r="I12" s="5"/>
      <c r="J12" s="13"/>
      <c r="K12" s="5"/>
      <c r="L12" s="5">
        <f t="shared" ref="L12:L19" si="0">+D12-H12</f>
        <v>520288.3899999999</v>
      </c>
      <c r="M12" s="5"/>
      <c r="N12" s="13">
        <f t="shared" ref="N12:N19" si="1">IF(H12=0,0,L12/H12)</f>
        <v>1.4733121237349278</v>
      </c>
      <c r="O12" s="11"/>
      <c r="P12" s="5">
        <f>SUM(OSRRefP13x_0)</f>
        <v>6661663.7599999998</v>
      </c>
      <c r="Q12" s="5"/>
      <c r="R12" s="13"/>
      <c r="S12" s="5"/>
      <c r="T12" s="5">
        <f>SUM(OSRRefT13x_0)</f>
        <v>8209523</v>
      </c>
      <c r="U12" s="5"/>
      <c r="V12" s="13"/>
      <c r="W12" s="5"/>
      <c r="X12" s="5">
        <f t="shared" ref="X12:X19" si="2">+P12-T12</f>
        <v>-1547859.2400000002</v>
      </c>
      <c r="Y12" s="5"/>
      <c r="Z12" s="13">
        <f t="shared" ref="Z12:Z19" si="3">IF(T12=0,0,X12/T12)</f>
        <v>-0.18854435757107937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--759413.22</f>
        <v>759413.22</v>
      </c>
      <c r="E13" s="3"/>
      <c r="F13" s="20"/>
      <c r="G13" s="3"/>
      <c r="H13" s="3">
        <v>305749</v>
      </c>
      <c r="I13" s="3"/>
      <c r="J13" s="20"/>
      <c r="K13" s="3"/>
      <c r="L13" s="3">
        <f t="shared" si="0"/>
        <v>453664.22</v>
      </c>
      <c r="M13" s="3"/>
      <c r="N13" s="20">
        <f t="shared" si="1"/>
        <v>1.4837798978900993</v>
      </c>
      <c r="O13" s="12"/>
      <c r="P13" s="3">
        <f>--5720828.81</f>
        <v>5720828.8099999996</v>
      </c>
      <c r="Q13" s="3"/>
      <c r="R13" s="20"/>
      <c r="S13" s="3"/>
      <c r="T13" s="3">
        <v>7870584</v>
      </c>
      <c r="U13" s="3"/>
      <c r="V13" s="20"/>
      <c r="W13" s="3"/>
      <c r="X13" s="3">
        <f t="shared" si="2"/>
        <v>-2149755.1900000004</v>
      </c>
      <c r="Y13" s="3"/>
      <c r="Z13" s="20">
        <f t="shared" si="3"/>
        <v>-0.2731379513896301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--158836.24</f>
        <v>158836.24</v>
      </c>
      <c r="E14" s="3"/>
      <c r="F14" s="20"/>
      <c r="G14" s="3"/>
      <c r="H14" s="3">
        <v>47393</v>
      </c>
      <c r="I14" s="3"/>
      <c r="J14" s="20"/>
      <c r="K14" s="3"/>
      <c r="L14" s="3">
        <f t="shared" si="0"/>
        <v>111443.23999999999</v>
      </c>
      <c r="M14" s="3"/>
      <c r="N14" s="20">
        <f t="shared" si="1"/>
        <v>2.3514704703226212</v>
      </c>
      <c r="O14" s="12"/>
      <c r="P14" s="3">
        <f>--1260216.37</f>
        <v>1260216.3700000001</v>
      </c>
      <c r="Q14" s="3"/>
      <c r="R14" s="20"/>
      <c r="S14" s="3"/>
      <c r="T14" s="3">
        <v>338939</v>
      </c>
      <c r="U14" s="3"/>
      <c r="V14" s="20"/>
      <c r="W14" s="3"/>
      <c r="X14" s="3">
        <f t="shared" si="2"/>
        <v>921277.37000000011</v>
      </c>
      <c r="Y14" s="3"/>
      <c r="Z14" s="20">
        <f t="shared" si="3"/>
        <v>2.7181214613839071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-20142.65</f>
        <v>-20142.650000000001</v>
      </c>
      <c r="E17" s="3"/>
      <c r="F17" s="20"/>
      <c r="G17" s="3"/>
      <c r="H17" s="3"/>
      <c r="I17" s="3"/>
      <c r="J17" s="20"/>
      <c r="K17" s="3"/>
      <c r="L17" s="3">
        <f t="shared" si="0"/>
        <v>-20142.650000000001</v>
      </c>
      <c r="M17" s="3"/>
      <c r="N17" s="20">
        <f t="shared" si="1"/>
        <v>0</v>
      </c>
      <c r="O17" s="12"/>
      <c r="P17" s="3">
        <f>-171550.66</f>
        <v>-171550.66</v>
      </c>
      <c r="Q17" s="3"/>
      <c r="R17" s="20"/>
      <c r="S17" s="3"/>
      <c r="T17" s="3"/>
      <c r="U17" s="3"/>
      <c r="V17" s="20"/>
      <c r="W17" s="3"/>
      <c r="X17" s="3">
        <f t="shared" si="2"/>
        <v>-171550.66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","4300"," - ","NON-TAX RETURNS")</f>
        <v xml:space="preserve">          4300 - NON-TAX RETURNS</v>
      </c>
      <c r="C18" s="12"/>
      <c r="D18" s="3">
        <f>-9969.65</f>
        <v>-9969.65</v>
      </c>
      <c r="E18" s="3"/>
      <c r="F18" s="20"/>
      <c r="G18" s="3"/>
      <c r="H18" s="3"/>
      <c r="I18" s="3"/>
      <c r="J18" s="20"/>
      <c r="K18" s="3"/>
      <c r="L18" s="3">
        <f t="shared" si="0"/>
        <v>-9969.65</v>
      </c>
      <c r="M18" s="3"/>
      <c r="N18" s="20">
        <f t="shared" si="1"/>
        <v>0</v>
      </c>
      <c r="O18" s="12"/>
      <c r="P18" s="3">
        <f>-41216.85</f>
        <v>-41216.85</v>
      </c>
      <c r="Q18" s="3"/>
      <c r="R18" s="20"/>
      <c r="S18" s="3"/>
      <c r="T18" s="3"/>
      <c r="U18" s="3"/>
      <c r="V18" s="20"/>
      <c r="W18" s="3"/>
      <c r="X18" s="3">
        <f t="shared" si="2"/>
        <v>-41216.85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","4500"," - ","SALES DISCOUNT")</f>
        <v xml:space="preserve">          4500 - SALES DISCOUNT</v>
      </c>
      <c r="C19" s="12"/>
      <c r="D19" s="3">
        <f>-14706.77</f>
        <v>-14706.77</v>
      </c>
      <c r="E19" s="3"/>
      <c r="F19" s="20"/>
      <c r="G19" s="3"/>
      <c r="H19" s="3"/>
      <c r="I19" s="3"/>
      <c r="J19" s="20"/>
      <c r="K19" s="3"/>
      <c r="L19" s="3">
        <f t="shared" si="0"/>
        <v>-14706.77</v>
      </c>
      <c r="M19" s="3"/>
      <c r="N19" s="20">
        <f t="shared" si="1"/>
        <v>0</v>
      </c>
      <c r="O19" s="12"/>
      <c r="P19" s="3">
        <f>-106613.91</f>
        <v>-106613.91</v>
      </c>
      <c r="Q19" s="3"/>
      <c r="R19" s="20"/>
      <c r="S19" s="3"/>
      <c r="T19" s="3"/>
      <c r="U19" s="3"/>
      <c r="V19" s="20"/>
      <c r="W19" s="3"/>
      <c r="X19" s="3">
        <f t="shared" si="2"/>
        <v>-106613.91</v>
      </c>
      <c r="Y19" s="3"/>
      <c r="Z19" s="20">
        <f t="shared" si="3"/>
        <v>0</v>
      </c>
    </row>
    <row r="20" spans="1:26" ht="15" customHeight="1" x14ac:dyDescent="0.3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3">
      <c r="A21" s="11"/>
      <c r="B21" s="28" t="s">
        <v>288</v>
      </c>
      <c r="C21" s="11"/>
      <c r="D21" s="5">
        <f>SUM(OSRRefD16x_0)</f>
        <v>379784.5</v>
      </c>
      <c r="E21" s="5"/>
      <c r="F21" s="13">
        <f t="shared" ref="F21:F48" si="4">IF(D$12=0,0,D21/D$12)</f>
        <v>0.43481942504885829</v>
      </c>
      <c r="G21" s="5"/>
      <c r="H21" s="5">
        <f>SUM(OSRRefH16x_0)</f>
        <v>156898</v>
      </c>
      <c r="I21" s="5"/>
      <c r="J21" s="13">
        <f t="shared" ref="J21:J48" si="5">IF(H$12=0,0,H21/H$12)</f>
        <v>0.44429153145193717</v>
      </c>
      <c r="K21" s="5"/>
      <c r="L21" s="5">
        <f t="shared" ref="L21:L48" si="6">+D21-H21</f>
        <v>222886.5</v>
      </c>
      <c r="M21" s="5"/>
      <c r="N21" s="13">
        <f t="shared" ref="N21:N48" si="7">IF(H21=0,0,L21/H21)</f>
        <v>1.4205821616591672</v>
      </c>
      <c r="O21" s="11"/>
      <c r="P21" s="5">
        <f>SUM(OSRRefP16x_0)</f>
        <v>3699319.84</v>
      </c>
      <c r="Q21" s="5"/>
      <c r="R21" s="13">
        <f t="shared" ref="R21:R48" si="8">IF(P$12=0,0,P21/P$12)</f>
        <v>0.55531470414532003</v>
      </c>
      <c r="S21" s="5"/>
      <c r="T21" s="5">
        <f>SUM(OSRRefT16x_0)</f>
        <v>5021295</v>
      </c>
      <c r="U21" s="5"/>
      <c r="V21" s="13">
        <f t="shared" ref="V21:V48" si="9">IF(T$12=0,0,T21/T$12)</f>
        <v>0.61164272272579057</v>
      </c>
      <c r="W21" s="5"/>
      <c r="X21" s="5">
        <f t="shared" ref="X21:X48" si="10">+P21-T21</f>
        <v>-1321975.1600000001</v>
      </c>
      <c r="Y21" s="5"/>
      <c r="Z21" s="13">
        <f t="shared" ref="Z21:Z48" si="11">IF(T21=0,0,X21/T21)</f>
        <v>-0.26327374910257217</v>
      </c>
    </row>
    <row r="22" spans="1:26" s="70" customFormat="1" ht="15" hidden="1" customHeight="1" outlineLevel="1" x14ac:dyDescent="0.3">
      <c r="A22" s="42"/>
      <c r="B22" s="12" t="str">
        <f>CONCATENATE("          ","5000"," - ","PURCHASES @ COST")</f>
        <v xml:space="preserve">          5000 - PURCHASES @ COST</v>
      </c>
      <c r="C22" s="12"/>
      <c r="D22" s="3">
        <v>156904.57999999999</v>
      </c>
      <c r="E22" s="3"/>
      <c r="F22" s="20">
        <f t="shared" si="4"/>
        <v>0.17964176859016778</v>
      </c>
      <c r="G22" s="3"/>
      <c r="H22" s="3">
        <v>156898</v>
      </c>
      <c r="I22" s="3"/>
      <c r="J22" s="20">
        <f t="shared" si="5"/>
        <v>0.44429153145193717</v>
      </c>
      <c r="K22" s="3"/>
      <c r="L22" s="3">
        <f t="shared" si="6"/>
        <v>6.5799999999871943</v>
      </c>
      <c r="M22" s="3"/>
      <c r="N22" s="20">
        <f t="shared" si="7"/>
        <v>4.1938074417692986E-5</v>
      </c>
      <c r="O22" s="12"/>
      <c r="P22" s="3">
        <v>3684048.07</v>
      </c>
      <c r="Q22" s="3"/>
      <c r="R22" s="20">
        <f t="shared" si="8"/>
        <v>0.55302221828139819</v>
      </c>
      <c r="S22" s="3"/>
      <c r="T22" s="3">
        <v>5021295</v>
      </c>
      <c r="U22" s="3"/>
      <c r="V22" s="20">
        <f t="shared" si="9"/>
        <v>0.61164272272579057</v>
      </c>
      <c r="W22" s="3"/>
      <c r="X22" s="3">
        <f t="shared" si="10"/>
        <v>-1337246.9300000002</v>
      </c>
      <c r="Y22" s="3"/>
      <c r="Z22" s="20">
        <f t="shared" si="11"/>
        <v>-0.26631514977709936</v>
      </c>
    </row>
    <row r="23" spans="1:26" s="70" customFormat="1" ht="15" hidden="1" customHeight="1" outlineLevel="1" x14ac:dyDescent="0.3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","5200"," - ","PURCHASES OFFSET")</f>
        <v xml:space="preserve">          5200 - PURCHASES OFFSET</v>
      </c>
      <c r="C36" s="12"/>
      <c r="D36" s="3">
        <v>-214885.79</v>
      </c>
      <c r="E36" s="3"/>
      <c r="F36" s="20">
        <f t="shared" si="4"/>
        <v>-0.24602508964681208</v>
      </c>
      <c r="G36" s="3"/>
      <c r="H36" s="3"/>
      <c r="I36" s="3"/>
      <c r="J36" s="20">
        <f t="shared" si="5"/>
        <v>0</v>
      </c>
      <c r="K36" s="3"/>
      <c r="L36" s="3">
        <f t="shared" si="6"/>
        <v>-214885.79</v>
      </c>
      <c r="M36" s="3"/>
      <c r="N36" s="20">
        <f t="shared" si="7"/>
        <v>0</v>
      </c>
      <c r="O36" s="12"/>
      <c r="P36" s="3">
        <v>-3568024.44</v>
      </c>
      <c r="Q36" s="3"/>
      <c r="R36" s="20">
        <f t="shared" si="8"/>
        <v>-0.53560560372683841</v>
      </c>
      <c r="S36" s="3"/>
      <c r="T36" s="3"/>
      <c r="U36" s="3"/>
      <c r="V36" s="20">
        <f t="shared" si="9"/>
        <v>0</v>
      </c>
      <c r="W36" s="3"/>
      <c r="X36" s="3">
        <f t="shared" si="10"/>
        <v>-3568024.44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","5300"," - ","COG$ OFFSET")</f>
        <v xml:space="preserve">          5300 - COG$ OFFSET</v>
      </c>
      <c r="C37" s="12"/>
      <c r="D37" s="3">
        <v>402607.93</v>
      </c>
      <c r="E37" s="3"/>
      <c r="F37" s="20">
        <f t="shared" si="4"/>
        <v>0.4609502195132002</v>
      </c>
      <c r="G37" s="3"/>
      <c r="H37" s="3"/>
      <c r="I37" s="3"/>
      <c r="J37" s="20">
        <f t="shared" si="5"/>
        <v>0</v>
      </c>
      <c r="K37" s="3"/>
      <c r="L37" s="3">
        <f t="shared" si="6"/>
        <v>402607.93</v>
      </c>
      <c r="M37" s="3"/>
      <c r="N37" s="20">
        <f t="shared" si="7"/>
        <v>0</v>
      </c>
      <c r="O37" s="12"/>
      <c r="P37" s="3">
        <v>3400022.02</v>
      </c>
      <c r="Q37" s="3"/>
      <c r="R37" s="20">
        <f t="shared" si="8"/>
        <v>0.5103863152648821</v>
      </c>
      <c r="S37" s="3"/>
      <c r="T37" s="3"/>
      <c r="U37" s="3"/>
      <c r="V37" s="20">
        <f t="shared" si="9"/>
        <v>0</v>
      </c>
      <c r="W37" s="3"/>
      <c r="X37" s="3">
        <f t="shared" si="10"/>
        <v>3400022.02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","5500"," - ","FREIGHT-IN")</f>
        <v xml:space="preserve">          5500 - FREIGHT-IN</v>
      </c>
      <c r="C38" s="12"/>
      <c r="D38" s="3">
        <v>35157.78</v>
      </c>
      <c r="E38" s="3"/>
      <c r="F38" s="20">
        <f t="shared" si="4"/>
        <v>4.0252526592302336E-2</v>
      </c>
      <c r="G38" s="3"/>
      <c r="H38" s="3"/>
      <c r="I38" s="3"/>
      <c r="J38" s="20">
        <f t="shared" si="5"/>
        <v>0</v>
      </c>
      <c r="K38" s="3"/>
      <c r="L38" s="3">
        <f t="shared" si="6"/>
        <v>35157.78</v>
      </c>
      <c r="M38" s="3"/>
      <c r="N38" s="20">
        <f t="shared" si="7"/>
        <v>0</v>
      </c>
      <c r="O38" s="12"/>
      <c r="P38" s="3">
        <v>183274.19</v>
      </c>
      <c r="Q38" s="3"/>
      <c r="R38" s="20">
        <f t="shared" si="8"/>
        <v>2.7511774325878015E-2</v>
      </c>
      <c r="S38" s="3"/>
      <c r="T38" s="3"/>
      <c r="U38" s="3"/>
      <c r="V38" s="20">
        <f t="shared" si="9"/>
        <v>0</v>
      </c>
      <c r="W38" s="3"/>
      <c r="X38" s="3">
        <f t="shared" si="10"/>
        <v>183274.19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","5501"," - ","FREIGHT-IN-NEW TEXT")</f>
        <v xml:space="preserve">          5501 - FREIGHT-IN-NEW TEXT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","5502"," - ","FREIGHT-IN-USED TEXT")</f>
        <v xml:space="preserve">          5502 - FREIGHT-IN-USED TEXT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","5518"," - ","FREIGHT-IN-STUDY GUIDES")</f>
        <v xml:space="preserve">          5518 - FREIGHT-IN-STUDY GUIDES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","5527"," - ","FREIGHT-IN-SCHOOL SUPPLIES")</f>
        <v xml:space="preserve">          5527 - FREIGHT-IN-SCHOOL SUPPLIES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>
        <v>0</v>
      </c>
      <c r="Q42" s="3"/>
      <c r="R42" s="20">
        <f t="shared" si="8"/>
        <v>0</v>
      </c>
      <c r="S42" s="3"/>
      <c r="T42" s="3"/>
      <c r="U42" s="3"/>
      <c r="V42" s="20">
        <f t="shared" si="9"/>
        <v>0</v>
      </c>
      <c r="W42" s="3"/>
      <c r="X42" s="3">
        <f t="shared" si="10"/>
        <v>0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","5528"," - ","FREIGHT-IN-ART/TECH")</f>
        <v xml:space="preserve">          5528 - FREIGHT-IN-ART/TECH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>
        <v>0</v>
      </c>
      <c r="Q43" s="3"/>
      <c r="R43" s="20">
        <f t="shared" si="8"/>
        <v>0</v>
      </c>
      <c r="S43" s="3"/>
      <c r="T43" s="3"/>
      <c r="U43" s="3"/>
      <c r="V43" s="20">
        <f t="shared" si="9"/>
        <v>0</v>
      </c>
      <c r="W43" s="3"/>
      <c r="X43" s="3">
        <f t="shared" si="10"/>
        <v>0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","5540"," - ","FREIGHT-IN-LOGO CLOTHING")</f>
        <v xml:space="preserve">          5540 - FREIGHT-IN-LOGO CLOTHING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","5541"," - ","FREIGHT-IN-LOGO GIFTS")</f>
        <v xml:space="preserve">          5541 - FREIGHT-IN-LOGO GIFTS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","5542"," - ","FREIGHT-IN-EVERYDAY GIFTS")</f>
        <v xml:space="preserve">          5542 - FREIGHT-IN-EVERYDAY GIFTS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","5544"," - ","FREIGHT-IN-ACCESSORIES")</f>
        <v xml:space="preserve">          5544 - FREIGHT-IN-ACCESSORIES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","5545"," - ","FREIGHT-IN-SPECIAL ORDERS")</f>
        <v xml:space="preserve">          5545 - FREIGHT-IN-SPECIAL ORDERS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3" customFormat="1" ht="15" customHeight="1" x14ac:dyDescent="0.3">
      <c r="A50" s="11"/>
      <c r="B50" s="27" t="s">
        <v>289</v>
      </c>
      <c r="C50" s="27"/>
      <c r="D50" s="21">
        <f>D12-D21</f>
        <v>493645.8899999999</v>
      </c>
      <c r="E50" s="15"/>
      <c r="F50" s="23">
        <f>IF(D$12=0,0,D50/D$12)</f>
        <v>0.56518057495114171</v>
      </c>
      <c r="G50" s="15"/>
      <c r="H50" s="21">
        <f>H12-H21</f>
        <v>196244</v>
      </c>
      <c r="I50" s="15"/>
      <c r="J50" s="23">
        <f>IF(H$12=0,0,H50/H$12)</f>
        <v>0.55570846854806277</v>
      </c>
      <c r="K50" s="17"/>
      <c r="L50" s="21">
        <f>+D50-H50</f>
        <v>297401.8899999999</v>
      </c>
      <c r="M50" s="17"/>
      <c r="N50" s="23">
        <f>IF(H50=0,0,L50/H50)</f>
        <v>1.5154699761521366</v>
      </c>
      <c r="O50" s="28"/>
      <c r="P50" s="21">
        <f>P12-P21</f>
        <v>2962343.92</v>
      </c>
      <c r="Q50" s="15"/>
      <c r="R50" s="23">
        <f>IF(P$12=0,0,P50/P$12)</f>
        <v>0.44468529585468003</v>
      </c>
      <c r="S50" s="15"/>
      <c r="T50" s="21">
        <f>T12-T21</f>
        <v>3188228</v>
      </c>
      <c r="U50" s="15"/>
      <c r="V50" s="23">
        <f>IF(T$12=0,0,T50/T$12)</f>
        <v>0.38835727727420949</v>
      </c>
      <c r="W50" s="17"/>
      <c r="X50" s="21">
        <f>+P50-T50</f>
        <v>-225884.08000000007</v>
      </c>
      <c r="Y50" s="17"/>
      <c r="Z50" s="23">
        <f>IF(T50=0,0,X50/T50)</f>
        <v>-7.0849412275408183E-2</v>
      </c>
    </row>
    <row r="51" spans="1:26" ht="15" customHeight="1" x14ac:dyDescent="0.3">
      <c r="A51" s="10"/>
      <c r="B51" s="11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35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63" customFormat="1" ht="15" customHeight="1" x14ac:dyDescent="0.3">
      <c r="A52" s="11"/>
      <c r="B52" s="28" t="s">
        <v>290</v>
      </c>
      <c r="C52" s="11"/>
      <c r="D52" s="22" cm="1">
        <f t="array" ref="D52">SUM(OSRRefD22x_0)</f>
        <v>359058.46</v>
      </c>
      <c r="E52" s="22"/>
      <c r="F52" s="33">
        <f t="shared" ref="F52:F83" si="12">IF(D$12=0,0,D52/D$12)</f>
        <v>0.41108995531973652</v>
      </c>
      <c r="G52" s="22"/>
      <c r="H52" s="22" cm="1">
        <f t="array" ref="H52">SUM(OSRRefH22x_0)</f>
        <v>326852.95639075642</v>
      </c>
      <c r="I52" s="22"/>
      <c r="J52" s="33">
        <f t="shared" ref="J52:J83" si="13">IF(H$12=0,0,H52/H$12)</f>
        <v>0.92555673465845589</v>
      </c>
      <c r="K52" s="5"/>
      <c r="L52" s="22">
        <f t="shared" ref="L52:L83" si="14">+D52-H52</f>
        <v>32205.503609243606</v>
      </c>
      <c r="M52" s="5"/>
      <c r="N52" s="33">
        <f t="shared" ref="N52:N83" si="15">IF(H52=0,0,L52/H52)</f>
        <v>9.8532086002433336E-2</v>
      </c>
      <c r="O52" s="11"/>
      <c r="P52" s="22" cm="1">
        <f t="array" ref="P52">SUM(OSRRefP22x_0)</f>
        <v>3213124.669999999</v>
      </c>
      <c r="Q52" s="22"/>
      <c r="R52" s="33">
        <f t="shared" ref="R52:R83" si="16">IF(P$12=0,0,P52/P$12)</f>
        <v>0.48233065879025977</v>
      </c>
      <c r="S52" s="22"/>
      <c r="T52" s="22" cm="1">
        <f t="array" ref="T52">SUM(OSRRefT22x_0)</f>
        <v>3387508.9130891487</v>
      </c>
      <c r="U52" s="22"/>
      <c r="V52" s="33">
        <f t="shared" ref="V52:V83" si="17">IF(T$12=0,0,T52/T$12)</f>
        <v>0.41263163683068416</v>
      </c>
      <c r="W52" s="5"/>
      <c r="X52" s="22">
        <f t="shared" ref="X52:X83" si="18">+P52-T52</f>
        <v>-174384.24308914971</v>
      </c>
      <c r="Y52" s="5"/>
      <c r="Z52" s="33">
        <f t="shared" ref="Z52:Z83" si="19">IF(T52=0,0,X52/T52)</f>
        <v>-5.1478607898369964E-2</v>
      </c>
    </row>
    <row r="53" spans="1:26" s="69" customFormat="1" ht="15" customHeight="1" outlineLevel="1" collapsed="1" x14ac:dyDescent="0.3">
      <c r="A53" s="25"/>
      <c r="B53" s="14" t="str">
        <f>CONCATENATE("     ","*Benefits                                         ")</f>
        <v xml:space="preserve">     *Benefits                                         </v>
      </c>
      <c r="C53" s="14"/>
      <c r="D53" s="2">
        <f>SUM(OSRRefD22_0x_0)</f>
        <v>50595.58</v>
      </c>
      <c r="E53" s="2"/>
      <c r="F53" s="6">
        <f t="shared" si="12"/>
        <v>5.7927432545597603E-2</v>
      </c>
      <c r="G53" s="2"/>
      <c r="H53" s="2">
        <f>SUM(OSRRefH22_0x_0)</f>
        <v>50484.811711112183</v>
      </c>
      <c r="I53" s="2"/>
      <c r="J53" s="6">
        <f t="shared" si="13"/>
        <v>0.14295895620207222</v>
      </c>
      <c r="K53" s="2"/>
      <c r="L53" s="2">
        <f t="shared" si="14"/>
        <v>110.76828888781893</v>
      </c>
      <c r="M53" s="2"/>
      <c r="N53" s="6">
        <f t="shared" si="15"/>
        <v>2.1940913540821976E-3</v>
      </c>
      <c r="O53" s="14"/>
      <c r="P53" s="2">
        <f>SUM(OSRRefP22_0x_0)</f>
        <v>472618.87</v>
      </c>
      <c r="Q53" s="2"/>
      <c r="R53" s="6">
        <f t="shared" si="16"/>
        <v>7.0946070985726251E-2</v>
      </c>
      <c r="S53" s="2"/>
      <c r="T53" s="2">
        <f>SUM(OSRRefT22_0x_0)</f>
        <v>483530.79657981824</v>
      </c>
      <c r="U53" s="2"/>
      <c r="V53" s="6">
        <f t="shared" si="17"/>
        <v>5.8898768732339048E-2</v>
      </c>
      <c r="W53" s="2"/>
      <c r="X53" s="2">
        <f t="shared" si="18"/>
        <v>-10911.926579818246</v>
      </c>
      <c r="Y53" s="2"/>
      <c r="Z53" s="6">
        <f t="shared" si="19"/>
        <v>-2.2567180119657537E-2</v>
      </c>
    </row>
    <row r="54" spans="1:26" s="70" customFormat="1" ht="15" hidden="1" customHeight="1" outlineLevel="2" x14ac:dyDescent="0.3">
      <c r="A54" s="26"/>
      <c r="B54" s="12" t="str">
        <f>CONCATENATE("          ","6111"," - ","F.I.C.A.")</f>
        <v xml:space="preserve">          6111 - F.I.C.A.</v>
      </c>
      <c r="C54" s="12"/>
      <c r="D54" s="7">
        <v>9755.44</v>
      </c>
      <c r="E54" s="3"/>
      <c r="F54" s="8">
        <f t="shared" si="12"/>
        <v>1.1169109881784628E-2</v>
      </c>
      <c r="G54" s="3"/>
      <c r="H54" s="7">
        <v>11212.2725673401</v>
      </c>
      <c r="I54" s="3"/>
      <c r="J54" s="8">
        <f t="shared" si="13"/>
        <v>3.1750039834797614E-2</v>
      </c>
      <c r="K54" s="3"/>
      <c r="L54" s="7">
        <f t="shared" si="14"/>
        <v>-1456.8325673400996</v>
      </c>
      <c r="M54" s="3"/>
      <c r="N54" s="8">
        <f t="shared" si="15"/>
        <v>-0.12993196148153446</v>
      </c>
      <c r="O54" s="12"/>
      <c r="P54" s="7">
        <v>87533.53</v>
      </c>
      <c r="Q54" s="3"/>
      <c r="R54" s="8">
        <f t="shared" si="16"/>
        <v>1.3139890146602056E-2</v>
      </c>
      <c r="S54" s="3"/>
      <c r="T54" s="7">
        <v>101889.54636788501</v>
      </c>
      <c r="U54" s="3"/>
      <c r="V54" s="8">
        <f t="shared" si="17"/>
        <v>1.2411140862615893E-2</v>
      </c>
      <c r="W54" s="3"/>
      <c r="X54" s="7">
        <f t="shared" si="18"/>
        <v>-14356.016367885008</v>
      </c>
      <c r="Y54" s="3"/>
      <c r="Z54" s="8">
        <f t="shared" si="19"/>
        <v>-0.14089783377826423</v>
      </c>
    </row>
    <row r="55" spans="1:26" s="70" customFormat="1" ht="15" hidden="1" customHeight="1" outlineLevel="2" x14ac:dyDescent="0.3">
      <c r="A55" s="26"/>
      <c r="B55" s="12" t="str">
        <f>CONCATENATE("          ","6112"," - ","COMPENSATION INSURANCE")</f>
        <v xml:space="preserve">          6112 - COMPENSATION INSURANCE</v>
      </c>
      <c r="C55" s="12"/>
      <c r="D55" s="7">
        <v>2266.4499999999998</v>
      </c>
      <c r="E55" s="3"/>
      <c r="F55" s="8">
        <f t="shared" si="12"/>
        <v>2.5948833770256152E-3</v>
      </c>
      <c r="G55" s="3"/>
      <c r="H55" s="7">
        <v>2889.8345623499999</v>
      </c>
      <c r="I55" s="3"/>
      <c r="J55" s="8">
        <f t="shared" si="13"/>
        <v>8.1832083477751151E-3</v>
      </c>
      <c r="K55" s="3"/>
      <c r="L55" s="7">
        <f t="shared" si="14"/>
        <v>-623.38456235000012</v>
      </c>
      <c r="M55" s="3"/>
      <c r="N55" s="8">
        <f t="shared" si="15"/>
        <v>-0.21571634946571708</v>
      </c>
      <c r="O55" s="12"/>
      <c r="P55" s="7">
        <v>24590.080000000002</v>
      </c>
      <c r="Q55" s="3"/>
      <c r="R55" s="8">
        <f t="shared" si="16"/>
        <v>3.6912820709521974E-3</v>
      </c>
      <c r="S55" s="3"/>
      <c r="T55" s="7">
        <v>28532.357414279999</v>
      </c>
      <c r="U55" s="3"/>
      <c r="V55" s="8">
        <f t="shared" si="17"/>
        <v>3.4755195173069128E-3</v>
      </c>
      <c r="W55" s="3"/>
      <c r="X55" s="7">
        <f t="shared" si="18"/>
        <v>-3942.2774142799972</v>
      </c>
      <c r="Y55" s="3"/>
      <c r="Z55" s="8">
        <f t="shared" si="19"/>
        <v>-0.13816865382132598</v>
      </c>
    </row>
    <row r="56" spans="1:26" s="70" customFormat="1" ht="15" hidden="1" customHeight="1" outlineLevel="2" x14ac:dyDescent="0.3">
      <c r="A56" s="26"/>
      <c r="B56" s="12" t="str">
        <f>CONCATENATE("          ","6113"," - ","GROUP INSURANCE")</f>
        <v xml:space="preserve">          6113 - GROUP INSURANCE</v>
      </c>
      <c r="C56" s="12"/>
      <c r="D56" s="7">
        <v>14256.33</v>
      </c>
      <c r="E56" s="3"/>
      <c r="F56" s="8">
        <f t="shared" si="12"/>
        <v>1.6322228036970414E-2</v>
      </c>
      <c r="G56" s="3"/>
      <c r="H56" s="7">
        <v>16784.1538461538</v>
      </c>
      <c r="I56" s="3"/>
      <c r="J56" s="8">
        <f t="shared" si="13"/>
        <v>4.7528059098475399E-2</v>
      </c>
      <c r="K56" s="3"/>
      <c r="L56" s="7">
        <f t="shared" si="14"/>
        <v>-2527.8238461538003</v>
      </c>
      <c r="M56" s="3"/>
      <c r="N56" s="8">
        <f t="shared" si="15"/>
        <v>-0.15060776189995825</v>
      </c>
      <c r="O56" s="12"/>
      <c r="P56" s="7">
        <v>164546.68</v>
      </c>
      <c r="Q56" s="3"/>
      <c r="R56" s="8">
        <f t="shared" si="16"/>
        <v>2.4700538173064442E-2</v>
      </c>
      <c r="S56" s="3"/>
      <c r="T56" s="7">
        <v>166374.65384615399</v>
      </c>
      <c r="U56" s="3"/>
      <c r="V56" s="8">
        <f t="shared" si="17"/>
        <v>2.0266056121184383E-2</v>
      </c>
      <c r="W56" s="3"/>
      <c r="X56" s="7">
        <f t="shared" si="18"/>
        <v>-1827.9738461539964</v>
      </c>
      <c r="Y56" s="3"/>
      <c r="Z56" s="8">
        <f t="shared" si="19"/>
        <v>-1.0987093309563347E-2</v>
      </c>
    </row>
    <row r="57" spans="1:26" s="70" customFormat="1" ht="15" hidden="1" customHeight="1" outlineLevel="2" x14ac:dyDescent="0.3">
      <c r="A57" s="26"/>
      <c r="B57" s="12" t="str">
        <f>CONCATENATE("          ","6114"," - ","STATE UNEMPLOYMENT INSURANCE")</f>
        <v xml:space="preserve">          6114 - STATE UNEMPLOYMENT INSURANCE</v>
      </c>
      <c r="C57" s="12"/>
      <c r="D57" s="7">
        <v>406.64</v>
      </c>
      <c r="E57" s="3"/>
      <c r="F57" s="8">
        <f t="shared" si="12"/>
        <v>4.6556658052623981E-4</v>
      </c>
      <c r="G57" s="3"/>
      <c r="H57" s="7">
        <v>389.01619108557702</v>
      </c>
      <c r="I57" s="3"/>
      <c r="J57" s="8">
        <f t="shared" si="13"/>
        <v>1.1015857391235735E-3</v>
      </c>
      <c r="K57" s="3"/>
      <c r="L57" s="7">
        <f t="shared" si="14"/>
        <v>17.623808914422966</v>
      </c>
      <c r="M57" s="3"/>
      <c r="N57" s="8">
        <f t="shared" si="15"/>
        <v>4.5303535735215776E-2</v>
      </c>
      <c r="O57" s="12"/>
      <c r="P57" s="7">
        <v>4434.59</v>
      </c>
      <c r="Q57" s="3"/>
      <c r="R57" s="8">
        <f t="shared" si="16"/>
        <v>6.6568805628220427E-4</v>
      </c>
      <c r="S57" s="3"/>
      <c r="T57" s="7">
        <v>3840.89426730692</v>
      </c>
      <c r="U57" s="3"/>
      <c r="V57" s="8">
        <f t="shared" si="17"/>
        <v>4.6785839656054561E-4</v>
      </c>
      <c r="W57" s="3"/>
      <c r="X57" s="7">
        <f t="shared" si="18"/>
        <v>593.69573269308012</v>
      </c>
      <c r="Y57" s="3"/>
      <c r="Z57" s="8">
        <f t="shared" si="19"/>
        <v>0.15457226660637957</v>
      </c>
    </row>
    <row r="58" spans="1:26" s="70" customFormat="1" ht="15" hidden="1" customHeight="1" outlineLevel="2" x14ac:dyDescent="0.3">
      <c r="A58" s="26"/>
      <c r="B58" s="12" t="str">
        <f>CONCATENATE("          ","6115"," - ","P.E.R.S.")</f>
        <v xml:space="preserve">          6115 - P.E.R.S.</v>
      </c>
      <c r="C58" s="12"/>
      <c r="D58" s="7">
        <v>7052.79</v>
      </c>
      <c r="E58" s="3"/>
      <c r="F58" s="8">
        <f t="shared" si="12"/>
        <v>8.0748163571455322E-3</v>
      </c>
      <c r="G58" s="3"/>
      <c r="H58" s="7">
        <v>5269.4978039807702</v>
      </c>
      <c r="I58" s="3"/>
      <c r="J58" s="8">
        <f t="shared" si="13"/>
        <v>1.4921753300317635E-2</v>
      </c>
      <c r="K58" s="3"/>
      <c r="L58" s="7">
        <f t="shared" si="14"/>
        <v>1783.2921960192298</v>
      </c>
      <c r="M58" s="3"/>
      <c r="N58" s="8">
        <f t="shared" si="15"/>
        <v>0.33841786491913251</v>
      </c>
      <c r="O58" s="12"/>
      <c r="P58" s="7">
        <v>67301.990000000005</v>
      </c>
      <c r="Q58" s="3"/>
      <c r="R58" s="8">
        <f t="shared" si="16"/>
        <v>1.0102880064904387E-2</v>
      </c>
      <c r="S58" s="3"/>
      <c r="T58" s="7">
        <v>48189.1741365692</v>
      </c>
      <c r="U58" s="3"/>
      <c r="V58" s="8">
        <f t="shared" si="17"/>
        <v>5.8699115815339332E-3</v>
      </c>
      <c r="W58" s="3"/>
      <c r="X58" s="7">
        <f t="shared" si="18"/>
        <v>19112.815863430806</v>
      </c>
      <c r="Y58" s="3"/>
      <c r="Z58" s="8">
        <f t="shared" si="19"/>
        <v>0.39662053160041</v>
      </c>
    </row>
    <row r="59" spans="1:26" s="70" customFormat="1" ht="15" hidden="1" customHeight="1" outlineLevel="2" x14ac:dyDescent="0.3">
      <c r="A59" s="26"/>
      <c r="B59" s="12" t="str">
        <f>CONCATENATE("          ","6116"," - ","EDUCATIONAL BENEFITS")</f>
        <v xml:space="preserve">          6116 - EDUCATIONAL BENEFITS</v>
      </c>
      <c r="C59" s="12"/>
      <c r="D59" s="7"/>
      <c r="E59" s="3"/>
      <c r="F59" s="8">
        <f t="shared" si="12"/>
        <v>0</v>
      </c>
      <c r="G59" s="3"/>
      <c r="H59" s="7">
        <v>0</v>
      </c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0</v>
      </c>
      <c r="U59" s="3"/>
      <c r="V59" s="8">
        <f t="shared" si="17"/>
        <v>0</v>
      </c>
      <c r="W59" s="3"/>
      <c r="X59" s="7">
        <f t="shared" si="18"/>
        <v>0</v>
      </c>
      <c r="Y59" s="3"/>
      <c r="Z59" s="8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","6117"," - ","RETIREMENT STAFF HOURLY")</f>
        <v xml:space="preserve">          6117 - RETIREMENT STAFF HOURLY</v>
      </c>
      <c r="C60" s="12"/>
      <c r="D60" s="7">
        <v>735.56</v>
      </c>
      <c r="E60" s="3"/>
      <c r="F60" s="8">
        <f t="shared" si="12"/>
        <v>8.4215068358223721E-4</v>
      </c>
      <c r="G60" s="3"/>
      <c r="H60" s="7"/>
      <c r="I60" s="3"/>
      <c r="J60" s="8">
        <f t="shared" si="13"/>
        <v>0</v>
      </c>
      <c r="K60" s="3"/>
      <c r="L60" s="7">
        <f t="shared" si="14"/>
        <v>735.56</v>
      </c>
      <c r="M60" s="3"/>
      <c r="N60" s="8">
        <f t="shared" si="15"/>
        <v>0</v>
      </c>
      <c r="O60" s="12"/>
      <c r="P60" s="7">
        <v>6875.22</v>
      </c>
      <c r="Q60" s="3"/>
      <c r="R60" s="8">
        <f t="shared" si="16"/>
        <v>1.0320574930968898E-3</v>
      </c>
      <c r="S60" s="3"/>
      <c r="T60" s="7"/>
      <c r="U60" s="3"/>
      <c r="V60" s="8">
        <f t="shared" si="17"/>
        <v>0</v>
      </c>
      <c r="W60" s="3"/>
      <c r="X60" s="7">
        <f t="shared" si="18"/>
        <v>6875.22</v>
      </c>
      <c r="Y60" s="3"/>
      <c r="Z60" s="8">
        <f t="shared" si="19"/>
        <v>0</v>
      </c>
    </row>
    <row r="61" spans="1:26" s="70" customFormat="1" ht="15" hidden="1" customHeight="1" outlineLevel="2" x14ac:dyDescent="0.3">
      <c r="A61" s="26"/>
      <c r="B61" s="12" t="str">
        <f>CONCATENATE("          ","6118"," - ","VACATION")</f>
        <v xml:space="preserve">          6118 - VACATION</v>
      </c>
      <c r="C61" s="12"/>
      <c r="D61" s="7">
        <v>7530.47</v>
      </c>
      <c r="E61" s="3"/>
      <c r="F61" s="8">
        <f t="shared" si="12"/>
        <v>8.6217174101304184E-3</v>
      </c>
      <c r="G61" s="3"/>
      <c r="H61" s="7">
        <v>4741.47971583654</v>
      </c>
      <c r="I61" s="3"/>
      <c r="J61" s="8">
        <f t="shared" si="13"/>
        <v>1.342655281964915E-2</v>
      </c>
      <c r="K61" s="3"/>
      <c r="L61" s="7">
        <f t="shared" si="14"/>
        <v>2788.9902841634603</v>
      </c>
      <c r="M61" s="3"/>
      <c r="N61" s="8">
        <f t="shared" si="15"/>
        <v>0.58821094917863592</v>
      </c>
      <c r="O61" s="12"/>
      <c r="P61" s="7">
        <v>64328.01</v>
      </c>
      <c r="Q61" s="3"/>
      <c r="R61" s="8">
        <f t="shared" si="16"/>
        <v>9.6564480462460328E-3</v>
      </c>
      <c r="S61" s="3"/>
      <c r="T61" s="7">
        <v>43838.502268592303</v>
      </c>
      <c r="U61" s="3"/>
      <c r="V61" s="8">
        <f t="shared" si="17"/>
        <v>5.3399572994182855E-3</v>
      </c>
      <c r="W61" s="3"/>
      <c r="X61" s="7">
        <f t="shared" si="18"/>
        <v>20489.507731407699</v>
      </c>
      <c r="Y61" s="3"/>
      <c r="Z61" s="8">
        <f t="shared" si="19"/>
        <v>0.46738612569086835</v>
      </c>
    </row>
    <row r="62" spans="1:26" s="70" customFormat="1" ht="15" hidden="1" customHeight="1" outlineLevel="2" x14ac:dyDescent="0.3">
      <c r="A62" s="26"/>
      <c r="B62" s="12" t="str">
        <f>CONCATENATE("          ","6119"," - ","SICK LEAVE")</f>
        <v xml:space="preserve">          6119 - SICK LEAVE</v>
      </c>
      <c r="C62" s="12"/>
      <c r="D62" s="7">
        <v>5490.17</v>
      </c>
      <c r="E62" s="3"/>
      <c r="F62" s="8">
        <f t="shared" si="12"/>
        <v>6.2857556398970742E-3</v>
      </c>
      <c r="G62" s="3"/>
      <c r="H62" s="7">
        <v>6923.5570243653901</v>
      </c>
      <c r="I62" s="3"/>
      <c r="J62" s="8">
        <f t="shared" si="13"/>
        <v>1.9605589322044363E-2</v>
      </c>
      <c r="K62" s="3"/>
      <c r="L62" s="7">
        <f t="shared" si="14"/>
        <v>-1433.3870243653901</v>
      </c>
      <c r="M62" s="3"/>
      <c r="N62" s="8">
        <f t="shared" si="15"/>
        <v>-0.20703043526918502</v>
      </c>
      <c r="O62" s="12"/>
      <c r="P62" s="7">
        <v>24419.25</v>
      </c>
      <c r="Q62" s="3"/>
      <c r="R62" s="8">
        <f t="shared" si="16"/>
        <v>3.6656383269635332E-3</v>
      </c>
      <c r="S62" s="3"/>
      <c r="T62" s="7">
        <v>67240.668279030797</v>
      </c>
      <c r="U62" s="3"/>
      <c r="V62" s="8">
        <f t="shared" si="17"/>
        <v>8.1905694495320609E-3</v>
      </c>
      <c r="W62" s="3"/>
      <c r="X62" s="7">
        <f t="shared" si="18"/>
        <v>-42821.418279030797</v>
      </c>
      <c r="Y62" s="3"/>
      <c r="Z62" s="8">
        <f t="shared" si="19"/>
        <v>-0.63683808288955968</v>
      </c>
    </row>
    <row r="63" spans="1:26" s="70" customFormat="1" ht="15" hidden="1" customHeight="1" outlineLevel="2" x14ac:dyDescent="0.3">
      <c r="A63" s="26"/>
      <c r="B63" s="12" t="str">
        <f>CONCATENATE("          ","6156"," - ","EMPLOYEE MEALS")</f>
        <v xml:space="preserve">          6156 - EMPLOYEE MEALS</v>
      </c>
      <c r="C63" s="12"/>
      <c r="D63" s="7">
        <v>3101.73</v>
      </c>
      <c r="E63" s="3"/>
      <c r="F63" s="8">
        <f t="shared" si="12"/>
        <v>3.5512045785354462E-3</v>
      </c>
      <c r="G63" s="3"/>
      <c r="H63" s="7">
        <v>2275</v>
      </c>
      <c r="I63" s="3"/>
      <c r="J63" s="8">
        <f t="shared" si="13"/>
        <v>6.4421677398893359E-3</v>
      </c>
      <c r="K63" s="3"/>
      <c r="L63" s="7">
        <f t="shared" si="14"/>
        <v>826.73</v>
      </c>
      <c r="M63" s="3"/>
      <c r="N63" s="8">
        <f t="shared" si="15"/>
        <v>0.36339780219780221</v>
      </c>
      <c r="O63" s="12"/>
      <c r="P63" s="7">
        <v>28589.52</v>
      </c>
      <c r="Q63" s="3"/>
      <c r="R63" s="8">
        <f t="shared" si="16"/>
        <v>4.2916486076145042E-3</v>
      </c>
      <c r="S63" s="3"/>
      <c r="T63" s="7">
        <v>23625</v>
      </c>
      <c r="U63" s="3"/>
      <c r="V63" s="8">
        <f t="shared" si="17"/>
        <v>2.8777555041870277E-3</v>
      </c>
      <c r="W63" s="3"/>
      <c r="X63" s="7">
        <f t="shared" si="18"/>
        <v>4964.5200000000004</v>
      </c>
      <c r="Y63" s="3"/>
      <c r="Z63" s="8">
        <f t="shared" si="19"/>
        <v>0.21013841269841271</v>
      </c>
    </row>
    <row r="64" spans="1:26" s="69" customFormat="1" ht="15" customHeight="1" outlineLevel="1" collapsed="1" x14ac:dyDescent="0.3">
      <c r="A64" s="25"/>
      <c r="B64" s="14" t="str">
        <f>CONCATENATE("     ","*Payroll                                          ")</f>
        <v xml:space="preserve">     *Payroll                                          </v>
      </c>
      <c r="C64" s="14"/>
      <c r="D64" s="2">
        <f>SUM(OSRRefD22_1x_0)</f>
        <v>190153.35</v>
      </c>
      <c r="E64" s="2"/>
      <c r="F64" s="6">
        <f t="shared" si="12"/>
        <v>0.21770864876822071</v>
      </c>
      <c r="G64" s="2"/>
      <c r="H64" s="2">
        <f>SUM(OSRRefH22_1x_0)</f>
        <v>176768.1446796442</v>
      </c>
      <c r="I64" s="2"/>
      <c r="J64" s="6">
        <f t="shared" si="13"/>
        <v>0.50055825894298667</v>
      </c>
      <c r="K64" s="2"/>
      <c r="L64" s="2">
        <f t="shared" si="14"/>
        <v>13385.205320355803</v>
      </c>
      <c r="M64" s="2"/>
      <c r="N64" s="6">
        <f t="shared" si="15"/>
        <v>7.572181823039284E-2</v>
      </c>
      <c r="O64" s="14"/>
      <c r="P64" s="2">
        <f>SUM(OSRRefP22_1x_0)</f>
        <v>1691084.5900000003</v>
      </c>
      <c r="Q64" s="2"/>
      <c r="R64" s="6">
        <f t="shared" si="16"/>
        <v>0.25385318907179433</v>
      </c>
      <c r="S64" s="2"/>
      <c r="T64" s="2">
        <f>SUM(OSRRefT22_1x_0)</f>
        <v>1752757.1165093305</v>
      </c>
      <c r="U64" s="2"/>
      <c r="V64" s="6">
        <f t="shared" si="17"/>
        <v>0.21350291807567023</v>
      </c>
      <c r="W64" s="2"/>
      <c r="X64" s="2">
        <f t="shared" si="18"/>
        <v>-61672.526509330142</v>
      </c>
      <c r="Y64" s="2"/>
      <c r="Z64" s="6">
        <f t="shared" si="19"/>
        <v>-3.5186008334202559E-2</v>
      </c>
    </row>
    <row r="65" spans="1:26" s="70" customFormat="1" ht="15" hidden="1" customHeight="1" outlineLevel="2" x14ac:dyDescent="0.3">
      <c r="A65" s="26"/>
      <c r="B65" s="12" t="str">
        <f>CONCATENATE("          ","6001"," - ","ADMINISTRATIVE SALARIES")</f>
        <v xml:space="preserve">          6001 - ADMINISTRATIVE SALARIES</v>
      </c>
      <c r="C65" s="12"/>
      <c r="D65" s="7">
        <v>2749.47</v>
      </c>
      <c r="E65" s="3"/>
      <c r="F65" s="8">
        <f t="shared" si="12"/>
        <v>3.1478982543760585E-3</v>
      </c>
      <c r="G65" s="3"/>
      <c r="H65" s="7">
        <v>5174.7596153846198</v>
      </c>
      <c r="I65" s="3"/>
      <c r="J65" s="8">
        <f t="shared" si="13"/>
        <v>1.4653481079522175E-2</v>
      </c>
      <c r="K65" s="3"/>
      <c r="L65" s="7">
        <f t="shared" si="14"/>
        <v>-2425.28961538462</v>
      </c>
      <c r="M65" s="3"/>
      <c r="N65" s="8">
        <f t="shared" si="15"/>
        <v>-0.46867676870906355</v>
      </c>
      <c r="O65" s="12"/>
      <c r="P65" s="7">
        <v>47666.53</v>
      </c>
      <c r="Q65" s="3"/>
      <c r="R65" s="8">
        <f t="shared" si="16"/>
        <v>7.1553491315809068E-3</v>
      </c>
      <c r="S65" s="3"/>
      <c r="T65" s="7">
        <v>45537.884615384603</v>
      </c>
      <c r="U65" s="3"/>
      <c r="V65" s="8">
        <f t="shared" si="17"/>
        <v>5.5469586497759495E-3</v>
      </c>
      <c r="W65" s="3"/>
      <c r="X65" s="7">
        <f t="shared" si="18"/>
        <v>2128.6453846153963</v>
      </c>
      <c r="Y65" s="3"/>
      <c r="Z65" s="8">
        <f t="shared" si="19"/>
        <v>4.6744494229234594E-2</v>
      </c>
    </row>
    <row r="66" spans="1:26" s="70" customFormat="1" ht="15" hidden="1" customHeight="1" outlineLevel="2" x14ac:dyDescent="0.3">
      <c r="A66" s="26"/>
      <c r="B66" s="12" t="str">
        <f>CONCATENATE("          ","6002"," - ","STAFF SALARIES")</f>
        <v xml:space="preserve">          6002 - STAFF SALARIES</v>
      </c>
      <c r="C66" s="12"/>
      <c r="D66" s="7">
        <v>58548.65</v>
      </c>
      <c r="E66" s="3"/>
      <c r="F66" s="8">
        <f t="shared" si="12"/>
        <v>6.7032989314695146E-2</v>
      </c>
      <c r="G66" s="3"/>
      <c r="H66" s="7">
        <v>50084.255779259598</v>
      </c>
      <c r="I66" s="3"/>
      <c r="J66" s="8">
        <f t="shared" si="13"/>
        <v>0.14182469312418119</v>
      </c>
      <c r="K66" s="3"/>
      <c r="L66" s="7">
        <f t="shared" si="14"/>
        <v>8464.3942207404034</v>
      </c>
      <c r="M66" s="3"/>
      <c r="N66" s="8">
        <f t="shared" si="15"/>
        <v>0.16900309466604066</v>
      </c>
      <c r="O66" s="12"/>
      <c r="P66" s="7">
        <v>573829.06000000006</v>
      </c>
      <c r="Q66" s="3"/>
      <c r="R66" s="8">
        <f t="shared" si="16"/>
        <v>8.6139000807209765E-2</v>
      </c>
      <c r="S66" s="3"/>
      <c r="T66" s="7">
        <v>458706.03739594598</v>
      </c>
      <c r="U66" s="3"/>
      <c r="V66" s="8">
        <f t="shared" si="17"/>
        <v>5.5874870853756788E-2</v>
      </c>
      <c r="W66" s="3"/>
      <c r="X66" s="7">
        <f t="shared" si="18"/>
        <v>115123.02260405407</v>
      </c>
      <c r="Y66" s="3"/>
      <c r="Z66" s="8">
        <f t="shared" si="19"/>
        <v>0.25097341918062038</v>
      </c>
    </row>
    <row r="67" spans="1:26" s="70" customFormat="1" ht="15" hidden="1" customHeight="1" outlineLevel="2" x14ac:dyDescent="0.3">
      <c r="A67" s="26"/>
      <c r="B67" s="12" t="str">
        <f>CONCATENATE("          ","6003"," - ","STAFF HOURLY-9 MONTH")</f>
        <v xml:space="preserve">          6003 - STAFF HOURLY-9 MONTH</v>
      </c>
      <c r="C67" s="12"/>
      <c r="D67" s="7"/>
      <c r="E67" s="3"/>
      <c r="F67" s="8">
        <f t="shared" si="12"/>
        <v>0</v>
      </c>
      <c r="G67" s="3"/>
      <c r="H67" s="7">
        <v>0</v>
      </c>
      <c r="I67" s="3"/>
      <c r="J67" s="8">
        <f t="shared" si="13"/>
        <v>0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/>
      <c r="Q67" s="3"/>
      <c r="R67" s="8">
        <f t="shared" si="16"/>
        <v>0</v>
      </c>
      <c r="S67" s="3"/>
      <c r="T67" s="7">
        <v>0</v>
      </c>
      <c r="U67" s="3"/>
      <c r="V67" s="8">
        <f t="shared" si="17"/>
        <v>0</v>
      </c>
      <c r="W67" s="3"/>
      <c r="X67" s="7">
        <f t="shared" si="18"/>
        <v>0</v>
      </c>
      <c r="Y67" s="3"/>
      <c r="Z67" s="8">
        <f t="shared" si="19"/>
        <v>0</v>
      </c>
    </row>
    <row r="68" spans="1:26" s="70" customFormat="1" ht="15" hidden="1" customHeight="1" outlineLevel="2" x14ac:dyDescent="0.3">
      <c r="A68" s="26"/>
      <c r="B68" s="12" t="str">
        <f>CONCATENATE("          ","6004"," - ","STAFF HOURLY")</f>
        <v xml:space="preserve">          6004 - STAFF HOURLY</v>
      </c>
      <c r="C68" s="12"/>
      <c r="D68" s="7">
        <v>38366.57</v>
      </c>
      <c r="E68" s="3"/>
      <c r="F68" s="8">
        <f t="shared" si="12"/>
        <v>4.3926305334990694E-2</v>
      </c>
      <c r="G68" s="3"/>
      <c r="H68" s="7">
        <v>44690.241959999999</v>
      </c>
      <c r="I68" s="3"/>
      <c r="J68" s="8">
        <f t="shared" si="13"/>
        <v>0.12655034507365309</v>
      </c>
      <c r="K68" s="3"/>
      <c r="L68" s="7">
        <f t="shared" si="14"/>
        <v>-6323.6719599999997</v>
      </c>
      <c r="M68" s="3"/>
      <c r="N68" s="8">
        <f t="shared" si="15"/>
        <v>-0.1415000609229192</v>
      </c>
      <c r="O68" s="12"/>
      <c r="P68" s="7">
        <v>245215.03</v>
      </c>
      <c r="Q68" s="3"/>
      <c r="R68" s="8">
        <f t="shared" si="16"/>
        <v>3.6809877957574968E-2</v>
      </c>
      <c r="S68" s="3"/>
      <c r="T68" s="7">
        <v>382718.46704800002</v>
      </c>
      <c r="U68" s="3"/>
      <c r="V68" s="8">
        <f t="shared" si="17"/>
        <v>4.6618843390535604E-2</v>
      </c>
      <c r="W68" s="3"/>
      <c r="X68" s="7">
        <f t="shared" si="18"/>
        <v>-137503.43704800002</v>
      </c>
      <c r="Y68" s="3"/>
      <c r="Z68" s="8">
        <f t="shared" si="19"/>
        <v>-0.35928090459965845</v>
      </c>
    </row>
    <row r="69" spans="1:26" s="70" customFormat="1" ht="15" hidden="1" customHeight="1" outlineLevel="2" x14ac:dyDescent="0.3">
      <c r="A69" s="26"/>
      <c r="B69" s="12" t="str">
        <f>CONCATENATE("          ","6005"," - ","TEMPORARY WAGES-HOURLY")</f>
        <v xml:space="preserve">          6005 - TEMPORARY WAGES-HOURLY</v>
      </c>
      <c r="C69" s="12"/>
      <c r="D69" s="7">
        <v>6503.23</v>
      </c>
      <c r="E69" s="3"/>
      <c r="F69" s="8">
        <f t="shared" si="12"/>
        <v>7.4456191065208985E-3</v>
      </c>
      <c r="G69" s="3"/>
      <c r="H69" s="7">
        <v>2396.66</v>
      </c>
      <c r="I69" s="3"/>
      <c r="J69" s="8">
        <f t="shared" si="13"/>
        <v>6.7866750485640337E-3</v>
      </c>
      <c r="K69" s="3"/>
      <c r="L69" s="7">
        <f t="shared" si="14"/>
        <v>4106.57</v>
      </c>
      <c r="M69" s="3"/>
      <c r="N69" s="8">
        <f t="shared" si="15"/>
        <v>1.7134553920873214</v>
      </c>
      <c r="O69" s="12"/>
      <c r="P69" s="7">
        <v>78700.479999999996</v>
      </c>
      <c r="Q69" s="3"/>
      <c r="R69" s="8">
        <f t="shared" si="16"/>
        <v>1.1813937604079856E-2</v>
      </c>
      <c r="S69" s="3"/>
      <c r="T69" s="7">
        <v>31379</v>
      </c>
      <c r="U69" s="3"/>
      <c r="V69" s="8">
        <f t="shared" si="17"/>
        <v>3.8222683583443275E-3</v>
      </c>
      <c r="W69" s="3"/>
      <c r="X69" s="7">
        <f t="shared" si="18"/>
        <v>47321.479999999996</v>
      </c>
      <c r="Y69" s="3"/>
      <c r="Z69" s="8">
        <f t="shared" si="19"/>
        <v>1.5080620797348543</v>
      </c>
    </row>
    <row r="70" spans="1:26" s="70" customFormat="1" ht="15" hidden="1" customHeight="1" outlineLevel="2" x14ac:dyDescent="0.3">
      <c r="A70" s="26"/>
      <c r="B70" s="12" t="str">
        <f>CONCATENATE("          ","6006"," - ","TEMPORARY PART TIME")</f>
        <v xml:space="preserve">          6006 - TEMPORARY PART TIME</v>
      </c>
      <c r="C70" s="12"/>
      <c r="D70" s="7">
        <v>2482.0300000000002</v>
      </c>
      <c r="E70" s="3"/>
      <c r="F70" s="8">
        <f t="shared" si="12"/>
        <v>2.8417032752890595E-3</v>
      </c>
      <c r="G70" s="3"/>
      <c r="H70" s="7">
        <v>0</v>
      </c>
      <c r="I70" s="3"/>
      <c r="J70" s="8">
        <f t="shared" si="13"/>
        <v>0</v>
      </c>
      <c r="K70" s="3"/>
      <c r="L70" s="7">
        <f t="shared" si="14"/>
        <v>2482.0300000000002</v>
      </c>
      <c r="M70" s="3"/>
      <c r="N70" s="8">
        <f t="shared" si="15"/>
        <v>0</v>
      </c>
      <c r="O70" s="12"/>
      <c r="P70" s="7">
        <v>17834.14</v>
      </c>
      <c r="Q70" s="3"/>
      <c r="R70" s="8">
        <f t="shared" si="16"/>
        <v>2.6771300147397413E-3</v>
      </c>
      <c r="S70" s="3"/>
      <c r="T70" s="7">
        <v>0</v>
      </c>
      <c r="U70" s="3"/>
      <c r="V70" s="8">
        <f t="shared" si="17"/>
        <v>0</v>
      </c>
      <c r="W70" s="3"/>
      <c r="X70" s="7">
        <f t="shared" si="18"/>
        <v>17834.14</v>
      </c>
      <c r="Y70" s="3"/>
      <c r="Z70" s="8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","6007"," - ","STUDENT HOURLY")</f>
        <v xml:space="preserve">          6007 - STUDENT HOURLY</v>
      </c>
      <c r="C71" s="12"/>
      <c r="D71" s="7">
        <v>62645.36</v>
      </c>
      <c r="E71" s="3"/>
      <c r="F71" s="8">
        <f t="shared" si="12"/>
        <v>7.1723357370242186E-2</v>
      </c>
      <c r="G71" s="3"/>
      <c r="H71" s="7">
        <v>37849.415999999997</v>
      </c>
      <c r="I71" s="3"/>
      <c r="J71" s="8">
        <f t="shared" si="13"/>
        <v>0.10717902713356099</v>
      </c>
      <c r="K71" s="3"/>
      <c r="L71" s="7">
        <f t="shared" si="14"/>
        <v>24795.944000000003</v>
      </c>
      <c r="M71" s="3"/>
      <c r="N71" s="8">
        <f t="shared" si="15"/>
        <v>0.65512091388675597</v>
      </c>
      <c r="O71" s="12"/>
      <c r="P71" s="7">
        <v>620858.54</v>
      </c>
      <c r="Q71" s="3"/>
      <c r="R71" s="8">
        <f t="shared" si="16"/>
        <v>9.3198720675148589E-2</v>
      </c>
      <c r="S71" s="3"/>
      <c r="T71" s="7">
        <v>365232.54599999997</v>
      </c>
      <c r="U71" s="3"/>
      <c r="V71" s="8">
        <f t="shared" si="17"/>
        <v>4.448888760041235E-2</v>
      </c>
      <c r="W71" s="3"/>
      <c r="X71" s="7">
        <f t="shared" si="18"/>
        <v>255625.99400000006</v>
      </c>
      <c r="Y71" s="3"/>
      <c r="Z71" s="8">
        <f t="shared" si="19"/>
        <v>0.6998992745843633</v>
      </c>
    </row>
    <row r="72" spans="1:26" s="70" customFormat="1" ht="15" hidden="1" customHeight="1" outlineLevel="2" x14ac:dyDescent="0.3">
      <c r="A72" s="26"/>
      <c r="B72" s="12" t="str">
        <f>CONCATENATE("          ","6008"," - ","STUDENT HOURLY-FICA EXEMPT")</f>
        <v xml:space="preserve">          6008 - STUDENT HOURLY-FICA EXEMPT</v>
      </c>
      <c r="C72" s="12"/>
      <c r="D72" s="7">
        <v>18858.04</v>
      </c>
      <c r="E72" s="3"/>
      <c r="F72" s="8">
        <f t="shared" si="12"/>
        <v>2.159077611210666E-2</v>
      </c>
      <c r="G72" s="3"/>
      <c r="H72" s="7">
        <v>36572.811325000002</v>
      </c>
      <c r="I72" s="3"/>
      <c r="J72" s="8">
        <f t="shared" si="13"/>
        <v>0.10356403748350522</v>
      </c>
      <c r="K72" s="3"/>
      <c r="L72" s="7">
        <f t="shared" si="14"/>
        <v>-17714.771325000002</v>
      </c>
      <c r="M72" s="3"/>
      <c r="N72" s="8">
        <f t="shared" si="15"/>
        <v>-0.48436996455043507</v>
      </c>
      <c r="O72" s="12"/>
      <c r="P72" s="7">
        <v>106980.81</v>
      </c>
      <c r="Q72" s="3"/>
      <c r="R72" s="8">
        <f t="shared" si="16"/>
        <v>1.6059172881460471E-2</v>
      </c>
      <c r="S72" s="3"/>
      <c r="T72" s="7">
        <v>469183.18144999997</v>
      </c>
      <c r="U72" s="3"/>
      <c r="V72" s="8">
        <f t="shared" si="17"/>
        <v>5.7151089222845224E-2</v>
      </c>
      <c r="W72" s="3"/>
      <c r="X72" s="7">
        <f t="shared" si="18"/>
        <v>-362202.37144999998</v>
      </c>
      <c r="Y72" s="3"/>
      <c r="Z72" s="8">
        <f t="shared" si="19"/>
        <v>-0.77198498533264082</v>
      </c>
    </row>
    <row r="73" spans="1:26" s="70" customFormat="1" ht="15" hidden="1" customHeight="1" outlineLevel="2" x14ac:dyDescent="0.3">
      <c r="A73" s="26"/>
      <c r="B73" s="12" t="str">
        <f>CONCATENATE("          ","6009"," - ","TEMPORARY-SEASONAL")</f>
        <v xml:space="preserve">          6009 - TEMPORARY-SEASONAL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","6010"," - ","GRATUITY")</f>
        <v xml:space="preserve">          6010 - GRATUITY</v>
      </c>
      <c r="C74" s="12"/>
      <c r="D74" s="7"/>
      <c r="E74" s="3"/>
      <c r="F74" s="8">
        <f t="shared" si="12"/>
        <v>0</v>
      </c>
      <c r="G74" s="3"/>
      <c r="H74" s="7">
        <v>0</v>
      </c>
      <c r="I74" s="3"/>
      <c r="J74" s="8">
        <f t="shared" si="13"/>
        <v>0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/>
      <c r="Q74" s="3"/>
      <c r="R74" s="8">
        <f t="shared" si="16"/>
        <v>0</v>
      </c>
      <c r="S74" s="3"/>
      <c r="T74" s="7">
        <v>0</v>
      </c>
      <c r="U74" s="3"/>
      <c r="V74" s="8">
        <f t="shared" si="17"/>
        <v>0</v>
      </c>
      <c r="W74" s="3"/>
      <c r="X74" s="7">
        <f t="shared" si="18"/>
        <v>0</v>
      </c>
      <c r="Y74" s="3"/>
      <c r="Z74" s="8">
        <f t="shared" si="19"/>
        <v>0</v>
      </c>
    </row>
    <row r="75" spans="1:26" s="69" customFormat="1" ht="15" customHeight="1" outlineLevel="1" collapsed="1" x14ac:dyDescent="0.3">
      <c r="A75" s="25"/>
      <c r="B75" s="14" t="str">
        <f>CONCATENATE("     ","Advertising/Promo                                 ")</f>
        <v xml:space="preserve">     Advertising/Promo                                 </v>
      </c>
      <c r="C75" s="14"/>
      <c r="D75" s="2">
        <f>SUM(OSRRefD22_2x_0)</f>
        <v>3210.66</v>
      </c>
      <c r="E75" s="2"/>
      <c r="F75" s="6">
        <f t="shared" si="12"/>
        <v>3.6759197261272305E-3</v>
      </c>
      <c r="G75" s="2"/>
      <c r="H75" s="2">
        <f>SUM(OSRRefH22_2x_0)</f>
        <v>300</v>
      </c>
      <c r="I75" s="2"/>
      <c r="J75" s="6">
        <f t="shared" si="13"/>
        <v>8.4951662504035208E-4</v>
      </c>
      <c r="K75" s="2"/>
      <c r="L75" s="2">
        <f t="shared" si="14"/>
        <v>2910.66</v>
      </c>
      <c r="M75" s="2"/>
      <c r="N75" s="6">
        <f t="shared" si="15"/>
        <v>9.7021999999999995</v>
      </c>
      <c r="O75" s="14"/>
      <c r="P75" s="2">
        <f>SUM(OSRRefP22_2x_0)</f>
        <v>12210.28</v>
      </c>
      <c r="Q75" s="2"/>
      <c r="R75" s="6">
        <f t="shared" si="16"/>
        <v>1.8329174872674752E-3</v>
      </c>
      <c r="S75" s="2"/>
      <c r="T75" s="2">
        <f>SUM(OSRRefT22_2x_0)</f>
        <v>6400</v>
      </c>
      <c r="U75" s="2"/>
      <c r="V75" s="6">
        <f t="shared" si="17"/>
        <v>7.7958244346230596E-4</v>
      </c>
      <c r="W75" s="2"/>
      <c r="X75" s="2">
        <f t="shared" si="18"/>
        <v>5810.2800000000007</v>
      </c>
      <c r="Y75" s="2"/>
      <c r="Z75" s="6">
        <f t="shared" si="19"/>
        <v>0.90785625000000014</v>
      </c>
    </row>
    <row r="76" spans="1:26" s="70" customFormat="1" ht="15" hidden="1" customHeight="1" outlineLevel="2" x14ac:dyDescent="0.3">
      <c r="A76" s="26"/>
      <c r="B76" s="12" t="str">
        <f>CONCATENATE("          ","6362"," - ","ADVERTISING EXPENSE")</f>
        <v xml:space="preserve">          6362 - ADVERTISING EXPENSE</v>
      </c>
      <c r="C76" s="12"/>
      <c r="D76" s="7">
        <v>3210.66</v>
      </c>
      <c r="E76" s="3"/>
      <c r="F76" s="8">
        <f t="shared" si="12"/>
        <v>3.6759197261272305E-3</v>
      </c>
      <c r="G76" s="3"/>
      <c r="H76" s="7">
        <v>300</v>
      </c>
      <c r="I76" s="3"/>
      <c r="J76" s="8">
        <f t="shared" si="13"/>
        <v>8.4951662504035208E-4</v>
      </c>
      <c r="K76" s="3"/>
      <c r="L76" s="7">
        <f t="shared" si="14"/>
        <v>2910.66</v>
      </c>
      <c r="M76" s="3"/>
      <c r="N76" s="8">
        <f t="shared" si="15"/>
        <v>9.7021999999999995</v>
      </c>
      <c r="O76" s="12"/>
      <c r="P76" s="7">
        <v>12210.28</v>
      </c>
      <c r="Q76" s="3"/>
      <c r="R76" s="8">
        <f t="shared" si="16"/>
        <v>1.8329174872674752E-3</v>
      </c>
      <c r="S76" s="3"/>
      <c r="T76" s="7">
        <v>6400</v>
      </c>
      <c r="U76" s="3"/>
      <c r="V76" s="8">
        <f t="shared" si="17"/>
        <v>7.7958244346230596E-4</v>
      </c>
      <c r="W76" s="3"/>
      <c r="X76" s="7">
        <f t="shared" si="18"/>
        <v>5810.2800000000007</v>
      </c>
      <c r="Y76" s="3"/>
      <c r="Z76" s="8">
        <f t="shared" si="19"/>
        <v>0.90785625000000014</v>
      </c>
    </row>
    <row r="77" spans="1:26" s="69" customFormat="1" ht="15" customHeight="1" outlineLevel="1" collapsed="1" x14ac:dyDescent="0.3">
      <c r="A77" s="25"/>
      <c r="B77" s="14" t="str">
        <f>CONCATENATE("     ","Bad Debts/Over/Short                              ")</f>
        <v xml:space="preserve">     Bad Debts/Over/Short                              </v>
      </c>
      <c r="C77" s="14"/>
      <c r="D77" s="2">
        <f>SUM(OSRRefD22_3x_0)</f>
        <v>-46.29</v>
      </c>
      <c r="E77" s="2"/>
      <c r="F77" s="6">
        <f t="shared" si="12"/>
        <v>-5.29979269441266E-5</v>
      </c>
      <c r="G77" s="2"/>
      <c r="H77" s="2">
        <f>SUM(OSRRefH22_3x_0)</f>
        <v>235</v>
      </c>
      <c r="I77" s="2"/>
      <c r="J77" s="6">
        <f t="shared" si="13"/>
        <v>6.6545468961494241E-4</v>
      </c>
      <c r="K77" s="2"/>
      <c r="L77" s="2">
        <f t="shared" si="14"/>
        <v>-281.29000000000002</v>
      </c>
      <c r="M77" s="2"/>
      <c r="N77" s="6">
        <f t="shared" si="15"/>
        <v>-1.1969787234042555</v>
      </c>
      <c r="O77" s="14"/>
      <c r="P77" s="2">
        <f>SUM(OSRRefP22_3x_0)</f>
        <v>6.76</v>
      </c>
      <c r="Q77" s="2"/>
      <c r="R77" s="6">
        <f t="shared" si="16"/>
        <v>1.0147615135711984E-6</v>
      </c>
      <c r="S77" s="2"/>
      <c r="T77" s="2">
        <f>SUM(OSRRefT22_3x_0)</f>
        <v>2350</v>
      </c>
      <c r="U77" s="2"/>
      <c r="V77" s="6">
        <f t="shared" si="17"/>
        <v>2.8625292845881544E-4</v>
      </c>
      <c r="W77" s="2"/>
      <c r="X77" s="2">
        <f t="shared" si="18"/>
        <v>-2343.2399999999998</v>
      </c>
      <c r="Y77" s="2"/>
      <c r="Z77" s="6">
        <f t="shared" si="19"/>
        <v>-0.99712340425531909</v>
      </c>
    </row>
    <row r="78" spans="1:26" s="70" customFormat="1" ht="15" hidden="1" customHeight="1" outlineLevel="2" x14ac:dyDescent="0.3">
      <c r="A78" s="26"/>
      <c r="B78" s="12" t="str">
        <f>CONCATENATE("          ","6272"," - ","CASH (OVER/SHORT)")</f>
        <v xml:space="preserve">          6272 - CASH (OVER/SHORT)</v>
      </c>
      <c r="C78" s="12"/>
      <c r="D78" s="7">
        <v>-46.29</v>
      </c>
      <c r="E78" s="3"/>
      <c r="F78" s="8">
        <f t="shared" si="12"/>
        <v>-5.29979269441266E-5</v>
      </c>
      <c r="G78" s="3"/>
      <c r="H78" s="7">
        <v>235</v>
      </c>
      <c r="I78" s="3"/>
      <c r="J78" s="8">
        <f t="shared" si="13"/>
        <v>6.6545468961494241E-4</v>
      </c>
      <c r="K78" s="3"/>
      <c r="L78" s="7">
        <f t="shared" si="14"/>
        <v>-281.29000000000002</v>
      </c>
      <c r="M78" s="3"/>
      <c r="N78" s="8">
        <f t="shared" si="15"/>
        <v>-1.1969787234042555</v>
      </c>
      <c r="O78" s="12"/>
      <c r="P78" s="7">
        <v>6.76</v>
      </c>
      <c r="Q78" s="3"/>
      <c r="R78" s="8">
        <f t="shared" si="16"/>
        <v>1.0147615135711984E-6</v>
      </c>
      <c r="S78" s="3"/>
      <c r="T78" s="7">
        <v>2350</v>
      </c>
      <c r="U78" s="3"/>
      <c r="V78" s="8">
        <f t="shared" si="17"/>
        <v>2.8625292845881544E-4</v>
      </c>
      <c r="W78" s="3"/>
      <c r="X78" s="7">
        <f t="shared" si="18"/>
        <v>-2343.2399999999998</v>
      </c>
      <c r="Y78" s="3"/>
      <c r="Z78" s="8">
        <f t="shared" si="19"/>
        <v>-0.99712340425531909</v>
      </c>
    </row>
    <row r="79" spans="1:26" s="69" customFormat="1" ht="15" customHeight="1" outlineLevel="1" collapsed="1" x14ac:dyDescent="0.3">
      <c r="A79" s="25"/>
      <c r="B79" s="14" t="str">
        <f>CONCATENATE("     ","Bank/card Fees                                    ")</f>
        <v xml:space="preserve">     Bank/card Fees                                    </v>
      </c>
      <c r="C79" s="14"/>
      <c r="D79" s="2">
        <f>SUM(OSRRefD22_4x_0)</f>
        <v>15412.52</v>
      </c>
      <c r="E79" s="2"/>
      <c r="F79" s="6">
        <f t="shared" si="12"/>
        <v>1.7645962604987905E-2</v>
      </c>
      <c r="G79" s="2"/>
      <c r="H79" s="2">
        <f>SUM(OSRRefH22_4x_0)</f>
        <v>9877</v>
      </c>
      <c r="I79" s="2"/>
      <c r="J79" s="6">
        <f t="shared" si="13"/>
        <v>2.7968919018411857E-2</v>
      </c>
      <c r="K79" s="2"/>
      <c r="L79" s="2">
        <f t="shared" si="14"/>
        <v>5535.52</v>
      </c>
      <c r="M79" s="2"/>
      <c r="N79" s="6">
        <f t="shared" si="15"/>
        <v>0.56044547939657796</v>
      </c>
      <c r="O79" s="14"/>
      <c r="P79" s="2">
        <f>SUM(OSRRefP22_4x_0)</f>
        <v>126779.94</v>
      </c>
      <c r="Q79" s="2"/>
      <c r="R79" s="6">
        <f t="shared" si="16"/>
        <v>1.9031272752199069E-2</v>
      </c>
      <c r="S79" s="2"/>
      <c r="T79" s="2">
        <f>SUM(OSRRefT22_4x_0)</f>
        <v>163517</v>
      </c>
      <c r="U79" s="2"/>
      <c r="V79" s="6">
        <f t="shared" si="17"/>
        <v>1.9917966001191542E-2</v>
      </c>
      <c r="W79" s="2"/>
      <c r="X79" s="2">
        <f t="shared" si="18"/>
        <v>-36737.06</v>
      </c>
      <c r="Y79" s="2"/>
      <c r="Z79" s="6">
        <f t="shared" si="19"/>
        <v>-0.22466813848101419</v>
      </c>
    </row>
    <row r="80" spans="1:26" s="70" customFormat="1" ht="15" hidden="1" customHeight="1" outlineLevel="2" x14ac:dyDescent="0.3">
      <c r="A80" s="26"/>
      <c r="B80" s="12" t="str">
        <f>CONCATENATE("          ","6381"," - ","BANK/CREDIT CARD FEES")</f>
        <v xml:space="preserve">          6381 - BANK/CREDIT CARD FEES</v>
      </c>
      <c r="C80" s="12"/>
      <c r="D80" s="7">
        <v>15412.52</v>
      </c>
      <c r="E80" s="3"/>
      <c r="F80" s="8">
        <f t="shared" si="12"/>
        <v>1.7645962604987905E-2</v>
      </c>
      <c r="G80" s="3"/>
      <c r="H80" s="7">
        <v>9877</v>
      </c>
      <c r="I80" s="3"/>
      <c r="J80" s="8">
        <f t="shared" si="13"/>
        <v>2.7968919018411857E-2</v>
      </c>
      <c r="K80" s="3"/>
      <c r="L80" s="7">
        <f t="shared" si="14"/>
        <v>5535.52</v>
      </c>
      <c r="M80" s="3"/>
      <c r="N80" s="8">
        <f t="shared" si="15"/>
        <v>0.56044547939657796</v>
      </c>
      <c r="O80" s="12"/>
      <c r="P80" s="7">
        <v>126779.94</v>
      </c>
      <c r="Q80" s="3"/>
      <c r="R80" s="8">
        <f t="shared" si="16"/>
        <v>1.9031272752199069E-2</v>
      </c>
      <c r="S80" s="3"/>
      <c r="T80" s="7">
        <v>163517</v>
      </c>
      <c r="U80" s="3"/>
      <c r="V80" s="8">
        <f t="shared" si="17"/>
        <v>1.9917966001191542E-2</v>
      </c>
      <c r="W80" s="3"/>
      <c r="X80" s="7">
        <f t="shared" si="18"/>
        <v>-36737.06</v>
      </c>
      <c r="Y80" s="3"/>
      <c r="Z80" s="8">
        <f t="shared" si="19"/>
        <v>-0.22466813848101419</v>
      </c>
    </row>
    <row r="81" spans="1:26" s="69" customFormat="1" ht="15" customHeight="1" outlineLevel="1" collapsed="1" x14ac:dyDescent="0.3">
      <c r="A81" s="25"/>
      <c r="B81" s="14" t="str">
        <f>CONCATENATE("     ","Depreciation                                      ")</f>
        <v xml:space="preserve">     Depreciation                                      </v>
      </c>
      <c r="C81" s="14"/>
      <c r="D81" s="2">
        <f>SUM(OSRRefD22_5x_0)</f>
        <v>16380.05</v>
      </c>
      <c r="E81" s="2"/>
      <c r="F81" s="6">
        <f t="shared" si="12"/>
        <v>1.8753698276974311E-2</v>
      </c>
      <c r="G81" s="2"/>
      <c r="H81" s="2">
        <f>SUM(OSRRefH22_5x_0)</f>
        <v>16259</v>
      </c>
      <c r="I81" s="2"/>
      <c r="J81" s="6">
        <f t="shared" si="13"/>
        <v>4.6040969355103614E-2</v>
      </c>
      <c r="K81" s="2"/>
      <c r="L81" s="2">
        <f t="shared" si="14"/>
        <v>121.04999999999927</v>
      </c>
      <c r="M81" s="2"/>
      <c r="N81" s="6">
        <f t="shared" si="15"/>
        <v>7.4451073251737051E-3</v>
      </c>
      <c r="O81" s="14"/>
      <c r="P81" s="2">
        <f>SUM(OSRRefP22_5x_0)</f>
        <v>283816.62</v>
      </c>
      <c r="Q81" s="2"/>
      <c r="R81" s="6">
        <f t="shared" si="16"/>
        <v>4.2604464924239888E-2</v>
      </c>
      <c r="S81" s="2"/>
      <c r="T81" s="2">
        <f>SUM(OSRRefT22_5x_0)</f>
        <v>282607</v>
      </c>
      <c r="U81" s="2"/>
      <c r="V81" s="6">
        <f t="shared" si="17"/>
        <v>3.4424289937429985E-2</v>
      </c>
      <c r="W81" s="2"/>
      <c r="X81" s="2">
        <f t="shared" si="18"/>
        <v>1209.6199999999953</v>
      </c>
      <c r="Y81" s="2"/>
      <c r="Z81" s="6">
        <f t="shared" si="19"/>
        <v>4.2802195274709949E-3</v>
      </c>
    </row>
    <row r="82" spans="1:26" s="70" customFormat="1" ht="15" hidden="1" customHeight="1" outlineLevel="2" x14ac:dyDescent="0.3">
      <c r="A82" s="26"/>
      <c r="B82" s="12" t="str">
        <f>CONCATENATE("          ","6321"," - ","BUILDING DEPRECIATION")</f>
        <v xml:space="preserve">          6321 - BUILDING DEPRECIATION</v>
      </c>
      <c r="C82" s="12"/>
      <c r="D82" s="7">
        <v>13321.71</v>
      </c>
      <c r="E82" s="3"/>
      <c r="F82" s="8">
        <f t="shared" si="12"/>
        <v>1.5252171383686342E-2</v>
      </c>
      <c r="G82" s="3"/>
      <c r="H82" s="7"/>
      <c r="I82" s="3"/>
      <c r="J82" s="8">
        <f t="shared" si="13"/>
        <v>0</v>
      </c>
      <c r="K82" s="3"/>
      <c r="L82" s="7">
        <f t="shared" si="14"/>
        <v>13321.71</v>
      </c>
      <c r="M82" s="3"/>
      <c r="N82" s="8">
        <f t="shared" si="15"/>
        <v>0</v>
      </c>
      <c r="O82" s="12"/>
      <c r="P82" s="7">
        <v>152475.84</v>
      </c>
      <c r="Q82" s="3"/>
      <c r="R82" s="8">
        <f t="shared" si="16"/>
        <v>2.2888552393704121E-2</v>
      </c>
      <c r="S82" s="3"/>
      <c r="T82" s="7"/>
      <c r="U82" s="3"/>
      <c r="V82" s="8">
        <f t="shared" si="17"/>
        <v>0</v>
      </c>
      <c r="W82" s="3"/>
      <c r="X82" s="7">
        <f t="shared" si="18"/>
        <v>152475.84</v>
      </c>
      <c r="Y82" s="3"/>
      <c r="Z82" s="8">
        <f t="shared" si="19"/>
        <v>0</v>
      </c>
    </row>
    <row r="83" spans="1:26" s="70" customFormat="1" ht="15" hidden="1" customHeight="1" outlineLevel="2" x14ac:dyDescent="0.3">
      <c r="A83" s="26"/>
      <c r="B83" s="12" t="str">
        <f>CONCATENATE("          ","6322"," - ","EQUIPMENT DEPRECIATION EXPENSE")</f>
        <v xml:space="preserve">          6322 - EQUIPMENT DEPRECIATION EXPENSE</v>
      </c>
      <c r="C83" s="12"/>
      <c r="D83" s="7">
        <v>3058.34</v>
      </c>
      <c r="E83" s="3"/>
      <c r="F83" s="8">
        <f t="shared" si="12"/>
        <v>3.5015268932879705E-3</v>
      </c>
      <c r="G83" s="3"/>
      <c r="H83" s="7">
        <v>16259</v>
      </c>
      <c r="I83" s="3"/>
      <c r="J83" s="8">
        <f t="shared" si="13"/>
        <v>4.6040969355103614E-2</v>
      </c>
      <c r="K83" s="3"/>
      <c r="L83" s="7">
        <f t="shared" si="14"/>
        <v>-13200.66</v>
      </c>
      <c r="M83" s="3"/>
      <c r="N83" s="8">
        <f t="shared" si="15"/>
        <v>-0.81189864075281382</v>
      </c>
      <c r="O83" s="12"/>
      <c r="P83" s="7">
        <v>131340.78</v>
      </c>
      <c r="Q83" s="3"/>
      <c r="R83" s="8">
        <f t="shared" si="16"/>
        <v>1.9715912530535767E-2</v>
      </c>
      <c r="S83" s="3"/>
      <c r="T83" s="7">
        <v>282607</v>
      </c>
      <c r="U83" s="3"/>
      <c r="V83" s="8">
        <f t="shared" si="17"/>
        <v>3.4424289937429985E-2</v>
      </c>
      <c r="W83" s="3"/>
      <c r="X83" s="7">
        <f t="shared" si="18"/>
        <v>-151266.22</v>
      </c>
      <c r="Y83" s="3"/>
      <c r="Z83" s="8">
        <f t="shared" si="19"/>
        <v>-0.53525291305593992</v>
      </c>
    </row>
    <row r="84" spans="1:26" s="69" customFormat="1" ht="15" customHeight="1" outlineLevel="1" collapsed="1" x14ac:dyDescent="0.3">
      <c r="A84" s="25"/>
      <c r="B84" s="14" t="str">
        <f>CONCATENATE("     ","Discounts and Markdowns                           ")</f>
        <v xml:space="preserve">     Discounts and Markdowns                           </v>
      </c>
      <c r="C84" s="14"/>
      <c r="D84" s="2">
        <f>SUM(OSRRefD22_6x_0)</f>
        <v>-50.18</v>
      </c>
      <c r="E84" s="2"/>
      <c r="F84" s="6">
        <f t="shared" ref="F84:F115" si="20">IF(D$12=0,0,D84/D$12)</f>
        <v>-5.7451630461358239E-5</v>
      </c>
      <c r="G84" s="2"/>
      <c r="H84" s="2">
        <f>SUM(OSRRefH22_6x_0)</f>
        <v>0</v>
      </c>
      <c r="I84" s="2"/>
      <c r="J84" s="6">
        <f t="shared" ref="J84:J115" si="21">IF(H$12=0,0,H84/H$12)</f>
        <v>0</v>
      </c>
      <c r="K84" s="2"/>
      <c r="L84" s="2">
        <f t="shared" ref="L84:L115" si="22">+D84-H84</f>
        <v>-50.18</v>
      </c>
      <c r="M84" s="2"/>
      <c r="N84" s="6">
        <f t="shared" ref="N84:N115" si="23">IF(H84=0,0,L84/H84)</f>
        <v>0</v>
      </c>
      <c r="O84" s="14"/>
      <c r="P84" s="2">
        <f>SUM(OSRRefP22_6x_0)</f>
        <v>2006.6499999999999</v>
      </c>
      <c r="Q84" s="2"/>
      <c r="R84" s="6">
        <f t="shared" ref="R84:R115" si="24">IF(P$12=0,0,P84/P$12)</f>
        <v>3.0122354899521375E-4</v>
      </c>
      <c r="S84" s="2"/>
      <c r="T84" s="2">
        <f>SUM(OSRRefT22_6x_0)</f>
        <v>0</v>
      </c>
      <c r="U84" s="2"/>
      <c r="V84" s="6">
        <f t="shared" ref="V84:V115" si="25">IF(T$12=0,0,T84/T$12)</f>
        <v>0</v>
      </c>
      <c r="W84" s="2"/>
      <c r="X84" s="2">
        <f t="shared" ref="X84:X115" si="26">+P84-T84</f>
        <v>2006.6499999999999</v>
      </c>
      <c r="Y84" s="2"/>
      <c r="Z84" s="6">
        <f t="shared" ref="Z84:Z115" si="27">IF(T84=0,0,X84/T84)</f>
        <v>0</v>
      </c>
    </row>
    <row r="85" spans="1:26" s="70" customFormat="1" ht="15" hidden="1" customHeight="1" outlineLevel="2" x14ac:dyDescent="0.3">
      <c r="A85" s="26"/>
      <c r="B85" s="12" t="str">
        <f>CONCATENATE("          ","6382"," - ","DISCOUNTS/MARK DOWNS")</f>
        <v xml:space="preserve">          6382 - DISCOUNTS/MARK DOWNS</v>
      </c>
      <c r="C85" s="12"/>
      <c r="D85" s="7"/>
      <c r="E85" s="3"/>
      <c r="F85" s="8">
        <f t="shared" si="20"/>
        <v>0</v>
      </c>
      <c r="G85" s="3"/>
      <c r="H85" s="7"/>
      <c r="I85" s="3"/>
      <c r="J85" s="8">
        <f t="shared" si="21"/>
        <v>0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>
        <v>2171.35</v>
      </c>
      <c r="Q85" s="3"/>
      <c r="R85" s="8">
        <f t="shared" si="24"/>
        <v>3.2594710243976651E-4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2171.35</v>
      </c>
      <c r="Y85" s="3"/>
      <c r="Z85" s="8">
        <f t="shared" si="27"/>
        <v>0</v>
      </c>
    </row>
    <row r="86" spans="1:26" s="70" customFormat="1" ht="15" hidden="1" customHeight="1" outlineLevel="2" x14ac:dyDescent="0.3">
      <c r="A86" s="26"/>
      <c r="B86" s="12" t="str">
        <f>CONCATENATE("          ","9175"," - ","EARNED DISCOUNTS")</f>
        <v xml:space="preserve">          9175 - EARNED DISCOUNTS</v>
      </c>
      <c r="C86" s="12"/>
      <c r="D86" s="7">
        <v>-50.18</v>
      </c>
      <c r="E86" s="3"/>
      <c r="F86" s="8">
        <f t="shared" si="20"/>
        <v>-5.7451630461358239E-5</v>
      </c>
      <c r="G86" s="3"/>
      <c r="H86" s="7"/>
      <c r="I86" s="3"/>
      <c r="J86" s="8">
        <f t="shared" si="21"/>
        <v>0</v>
      </c>
      <c r="K86" s="3"/>
      <c r="L86" s="7">
        <f t="shared" si="22"/>
        <v>-50.18</v>
      </c>
      <c r="M86" s="3"/>
      <c r="N86" s="8">
        <f t="shared" si="23"/>
        <v>0</v>
      </c>
      <c r="O86" s="12"/>
      <c r="P86" s="7">
        <v>-164.7</v>
      </c>
      <c r="Q86" s="3"/>
      <c r="R86" s="8">
        <f t="shared" si="24"/>
        <v>-2.4723553444552716E-5</v>
      </c>
      <c r="S86" s="3"/>
      <c r="T86" s="7"/>
      <c r="U86" s="3"/>
      <c r="V86" s="8">
        <f t="shared" si="25"/>
        <v>0</v>
      </c>
      <c r="W86" s="3"/>
      <c r="X86" s="7">
        <f t="shared" si="26"/>
        <v>-164.7</v>
      </c>
      <c r="Y86" s="3"/>
      <c r="Z86" s="8">
        <f t="shared" si="27"/>
        <v>0</v>
      </c>
    </row>
    <row r="87" spans="1:26" s="69" customFormat="1" ht="15" customHeight="1" outlineLevel="1" collapsed="1" x14ac:dyDescent="0.3">
      <c r="A87" s="25"/>
      <c r="B87" s="14" t="str">
        <f>CONCATENATE("     ","Donations                                         ")</f>
        <v xml:space="preserve">     Donations                                         </v>
      </c>
      <c r="C87" s="14"/>
      <c r="D87" s="2">
        <f>SUM(OSRRefD22_7x_0)</f>
        <v>1488.53</v>
      </c>
      <c r="E87" s="2"/>
      <c r="F87" s="6">
        <f t="shared" si="20"/>
        <v>1.7042342664536783E-3</v>
      </c>
      <c r="G87" s="2"/>
      <c r="H87" s="2">
        <f>SUM(OSRRefH22_7x_0)</f>
        <v>1250</v>
      </c>
      <c r="I87" s="2"/>
      <c r="J87" s="6">
        <f t="shared" si="21"/>
        <v>3.5396526043348E-3</v>
      </c>
      <c r="K87" s="2"/>
      <c r="L87" s="2">
        <f t="shared" si="22"/>
        <v>238.52999999999997</v>
      </c>
      <c r="M87" s="2"/>
      <c r="N87" s="6">
        <f t="shared" si="23"/>
        <v>0.19082399999999997</v>
      </c>
      <c r="O87" s="14"/>
      <c r="P87" s="2">
        <f>SUM(OSRRefP22_7x_0)</f>
        <v>7306.8</v>
      </c>
      <c r="Q87" s="2"/>
      <c r="R87" s="6">
        <f t="shared" si="24"/>
        <v>1.0968431105565137E-3</v>
      </c>
      <c r="S87" s="2"/>
      <c r="T87" s="2">
        <f>SUM(OSRRefT22_7x_0)</f>
        <v>12500</v>
      </c>
      <c r="U87" s="2"/>
      <c r="V87" s="6">
        <f t="shared" si="25"/>
        <v>1.5226219598873162E-3</v>
      </c>
      <c r="W87" s="2"/>
      <c r="X87" s="2">
        <f t="shared" si="26"/>
        <v>-5193.2</v>
      </c>
      <c r="Y87" s="2"/>
      <c r="Z87" s="6">
        <f t="shared" si="27"/>
        <v>-0.41545599999999999</v>
      </c>
    </row>
    <row r="88" spans="1:26" s="70" customFormat="1" ht="15" hidden="1" customHeight="1" outlineLevel="2" x14ac:dyDescent="0.3">
      <c r="A88" s="26"/>
      <c r="B88" s="12" t="str">
        <f>CONCATENATE("          ","6399"," - ","DONATION-ON CAMPUS")</f>
        <v xml:space="preserve">          6399 - DONATION-ON CAMPUS</v>
      </c>
      <c r="C88" s="12"/>
      <c r="D88" s="7">
        <v>1488.53</v>
      </c>
      <c r="E88" s="3"/>
      <c r="F88" s="8">
        <f t="shared" si="20"/>
        <v>1.7042342664536783E-3</v>
      </c>
      <c r="G88" s="3"/>
      <c r="H88" s="7">
        <v>1250</v>
      </c>
      <c r="I88" s="3"/>
      <c r="J88" s="8">
        <f t="shared" si="21"/>
        <v>3.5396526043348E-3</v>
      </c>
      <c r="K88" s="3"/>
      <c r="L88" s="7">
        <f t="shared" si="22"/>
        <v>238.52999999999997</v>
      </c>
      <c r="M88" s="3"/>
      <c r="N88" s="8">
        <f t="shared" si="23"/>
        <v>0.19082399999999997</v>
      </c>
      <c r="O88" s="12"/>
      <c r="P88" s="7">
        <v>7306.8</v>
      </c>
      <c r="Q88" s="3"/>
      <c r="R88" s="8">
        <f t="shared" si="24"/>
        <v>1.0968431105565137E-3</v>
      </c>
      <c r="S88" s="3"/>
      <c r="T88" s="7">
        <v>12500</v>
      </c>
      <c r="U88" s="3"/>
      <c r="V88" s="8">
        <f t="shared" si="25"/>
        <v>1.5226219598873162E-3</v>
      </c>
      <c r="W88" s="3"/>
      <c r="X88" s="7">
        <f t="shared" si="26"/>
        <v>-5193.2</v>
      </c>
      <c r="Y88" s="3"/>
      <c r="Z88" s="8">
        <f t="shared" si="27"/>
        <v>-0.41545599999999999</v>
      </c>
    </row>
    <row r="89" spans="1:26" s="69" customFormat="1" ht="15" customHeight="1" outlineLevel="1" collapsed="1" x14ac:dyDescent="0.3">
      <c r="A89" s="25"/>
      <c r="B89" s="14" t="str">
        <f>CONCATENATE("     ","Employees' Appreciation                           ")</f>
        <v xml:space="preserve">     Employees' Appreciation                           </v>
      </c>
      <c r="C89" s="14"/>
      <c r="D89" s="2">
        <f>SUM(OSRRefD22_8x_0)</f>
        <v>0</v>
      </c>
      <c r="E89" s="2"/>
      <c r="F89" s="6">
        <f t="shared" si="20"/>
        <v>0</v>
      </c>
      <c r="G89" s="2"/>
      <c r="H89" s="2">
        <f>SUM(OSRRefH22_8x_0)</f>
        <v>225</v>
      </c>
      <c r="I89" s="2"/>
      <c r="J89" s="6">
        <f t="shared" si="21"/>
        <v>6.3713746878026403E-4</v>
      </c>
      <c r="K89" s="2"/>
      <c r="L89" s="2">
        <f t="shared" si="22"/>
        <v>-225</v>
      </c>
      <c r="M89" s="2"/>
      <c r="N89" s="6">
        <f t="shared" si="23"/>
        <v>-1</v>
      </c>
      <c r="O89" s="14"/>
      <c r="P89" s="2">
        <f>SUM(OSRRefP22_8x_0)</f>
        <v>4319.88</v>
      </c>
      <c r="Q89" s="2"/>
      <c r="R89" s="6">
        <f t="shared" si="24"/>
        <v>6.4846863420798054E-4</v>
      </c>
      <c r="S89" s="2"/>
      <c r="T89" s="2">
        <f>SUM(OSRRefT22_8x_0)</f>
        <v>2250</v>
      </c>
      <c r="U89" s="2"/>
      <c r="V89" s="6">
        <f t="shared" si="25"/>
        <v>2.7407195277971691E-4</v>
      </c>
      <c r="W89" s="2"/>
      <c r="X89" s="2">
        <f t="shared" si="26"/>
        <v>2069.88</v>
      </c>
      <c r="Y89" s="2"/>
      <c r="Z89" s="6">
        <f t="shared" si="27"/>
        <v>0.91994666666666669</v>
      </c>
    </row>
    <row r="90" spans="1:26" s="70" customFormat="1" ht="15" hidden="1" customHeight="1" outlineLevel="2" x14ac:dyDescent="0.3">
      <c r="A90" s="26"/>
      <c r="B90" s="12" t="str">
        <f>CONCATENATE("          ","6277"," - ","EMPLOYEE APPRECIATION")</f>
        <v xml:space="preserve">          6277 - EMPLOYEE APPRECIATION</v>
      </c>
      <c r="C90" s="12"/>
      <c r="D90" s="7"/>
      <c r="E90" s="3"/>
      <c r="F90" s="8">
        <f t="shared" si="20"/>
        <v>0</v>
      </c>
      <c r="G90" s="3"/>
      <c r="H90" s="7">
        <v>225</v>
      </c>
      <c r="I90" s="3"/>
      <c r="J90" s="8">
        <f t="shared" si="21"/>
        <v>6.3713746878026403E-4</v>
      </c>
      <c r="K90" s="3"/>
      <c r="L90" s="7">
        <f t="shared" si="22"/>
        <v>-225</v>
      </c>
      <c r="M90" s="3"/>
      <c r="N90" s="8">
        <f t="shared" si="23"/>
        <v>-1</v>
      </c>
      <c r="O90" s="12"/>
      <c r="P90" s="7">
        <v>4319.88</v>
      </c>
      <c r="Q90" s="3"/>
      <c r="R90" s="8">
        <f t="shared" si="24"/>
        <v>6.4846863420798054E-4</v>
      </c>
      <c r="S90" s="3"/>
      <c r="T90" s="7">
        <v>2250</v>
      </c>
      <c r="U90" s="3"/>
      <c r="V90" s="8">
        <f t="shared" si="25"/>
        <v>2.7407195277971691E-4</v>
      </c>
      <c r="W90" s="3"/>
      <c r="X90" s="7">
        <f t="shared" si="26"/>
        <v>2069.88</v>
      </c>
      <c r="Y90" s="3"/>
      <c r="Z90" s="8">
        <f t="shared" si="27"/>
        <v>0.91994666666666669</v>
      </c>
    </row>
    <row r="91" spans="1:26" s="69" customFormat="1" ht="15" customHeight="1" outlineLevel="1" collapsed="1" x14ac:dyDescent="0.3">
      <c r="A91" s="25"/>
      <c r="B91" s="14" t="str">
        <f>CONCATENATE("     ","Equipment Rental                                  ")</f>
        <v xml:space="preserve">     Equipment Rental                                  </v>
      </c>
      <c r="C91" s="14"/>
      <c r="D91" s="2">
        <f>SUM(OSRRefD22_9x_0)</f>
        <v>1388.16</v>
      </c>
      <c r="E91" s="2"/>
      <c r="F91" s="6">
        <f t="shared" si="20"/>
        <v>1.5893195564216631E-3</v>
      </c>
      <c r="G91" s="2"/>
      <c r="H91" s="2">
        <f>SUM(OSRRefH22_9x_0)</f>
        <v>1700</v>
      </c>
      <c r="I91" s="2"/>
      <c r="J91" s="6">
        <f t="shared" si="21"/>
        <v>4.8139275418953281E-3</v>
      </c>
      <c r="K91" s="2"/>
      <c r="L91" s="2">
        <f t="shared" si="22"/>
        <v>-311.83999999999992</v>
      </c>
      <c r="M91" s="2"/>
      <c r="N91" s="6">
        <f t="shared" si="23"/>
        <v>-0.183435294117647</v>
      </c>
      <c r="O91" s="14"/>
      <c r="P91" s="2">
        <f>SUM(OSRRefP22_9x_0)</f>
        <v>15798.31</v>
      </c>
      <c r="Q91" s="2"/>
      <c r="R91" s="6">
        <f t="shared" si="24"/>
        <v>2.3715261786193785E-3</v>
      </c>
      <c r="S91" s="2"/>
      <c r="T91" s="2">
        <f>SUM(OSRRefT22_9x_0)</f>
        <v>16800</v>
      </c>
      <c r="U91" s="2"/>
      <c r="V91" s="6">
        <f t="shared" si="25"/>
        <v>2.0464039140885531E-3</v>
      </c>
      <c r="W91" s="2"/>
      <c r="X91" s="2">
        <f t="shared" si="26"/>
        <v>-1001.6900000000005</v>
      </c>
      <c r="Y91" s="2"/>
      <c r="Z91" s="6">
        <f t="shared" si="27"/>
        <v>-5.9624404761904795E-2</v>
      </c>
    </row>
    <row r="92" spans="1:26" s="70" customFormat="1" ht="15" hidden="1" customHeight="1" outlineLevel="2" x14ac:dyDescent="0.3">
      <c r="A92" s="26"/>
      <c r="B92" s="12" t="str">
        <f>CONCATENATE("          ","6351"," - ","EQUIPMENT RENTAL")</f>
        <v xml:space="preserve">          6351 - EQUIPMENT RENTAL</v>
      </c>
      <c r="C92" s="12"/>
      <c r="D92" s="7">
        <v>1388.16</v>
      </c>
      <c r="E92" s="3"/>
      <c r="F92" s="8">
        <f t="shared" si="20"/>
        <v>1.5893195564216631E-3</v>
      </c>
      <c r="G92" s="3"/>
      <c r="H92" s="7">
        <v>1700</v>
      </c>
      <c r="I92" s="3"/>
      <c r="J92" s="8">
        <f t="shared" si="21"/>
        <v>4.8139275418953281E-3</v>
      </c>
      <c r="K92" s="3"/>
      <c r="L92" s="7">
        <f t="shared" si="22"/>
        <v>-311.83999999999992</v>
      </c>
      <c r="M92" s="3"/>
      <c r="N92" s="8">
        <f t="shared" si="23"/>
        <v>-0.183435294117647</v>
      </c>
      <c r="O92" s="12"/>
      <c r="P92" s="7">
        <v>15798.31</v>
      </c>
      <c r="Q92" s="3"/>
      <c r="R92" s="8">
        <f t="shared" si="24"/>
        <v>2.3715261786193785E-3</v>
      </c>
      <c r="S92" s="3"/>
      <c r="T92" s="7">
        <v>16800</v>
      </c>
      <c r="U92" s="3"/>
      <c r="V92" s="8">
        <f t="shared" si="25"/>
        <v>2.0464039140885531E-3</v>
      </c>
      <c r="W92" s="3"/>
      <c r="X92" s="7">
        <f t="shared" si="26"/>
        <v>-1001.6900000000005</v>
      </c>
      <c r="Y92" s="3"/>
      <c r="Z92" s="8">
        <f t="shared" si="27"/>
        <v>-5.9624404761904795E-2</v>
      </c>
    </row>
    <row r="93" spans="1:26" s="69" customFormat="1" ht="15" customHeight="1" outlineLevel="1" collapsed="1" x14ac:dyDescent="0.3">
      <c r="A93" s="25"/>
      <c r="B93" s="14" t="str">
        <f>CONCATENATE("     ","Freight out/Postage                               ")</f>
        <v xml:space="preserve">     Freight out/Postage                               </v>
      </c>
      <c r="C93" s="14"/>
      <c r="D93" s="2">
        <f>SUM(OSRRefD22_10x_0)</f>
        <v>750.14999999999964</v>
      </c>
      <c r="E93" s="2"/>
      <c r="F93" s="6">
        <f t="shared" si="20"/>
        <v>8.5885493404918016E-4</v>
      </c>
      <c r="G93" s="2"/>
      <c r="H93" s="2">
        <f>SUM(OSRRefH22_10x_0)</f>
        <v>-550</v>
      </c>
      <c r="I93" s="2"/>
      <c r="J93" s="6">
        <f t="shared" si="21"/>
        <v>-1.5574471459073121E-3</v>
      </c>
      <c r="K93" s="2"/>
      <c r="L93" s="2">
        <f t="shared" si="22"/>
        <v>1300.1499999999996</v>
      </c>
      <c r="M93" s="2"/>
      <c r="N93" s="6">
        <f t="shared" si="23"/>
        <v>-2.3639090909090901</v>
      </c>
      <c r="O93" s="14"/>
      <c r="P93" s="2">
        <f>SUM(OSRRefP22_10x_0)</f>
        <v>-43978.59</v>
      </c>
      <c r="Q93" s="2"/>
      <c r="R93" s="6">
        <f t="shared" si="24"/>
        <v>-6.6017426853738409E-3</v>
      </c>
      <c r="S93" s="2"/>
      <c r="T93" s="2">
        <f>SUM(OSRRefT22_10x_0)</f>
        <v>-12200</v>
      </c>
      <c r="U93" s="2"/>
      <c r="V93" s="6">
        <f t="shared" si="25"/>
        <v>-1.4860790328500206E-3</v>
      </c>
      <c r="W93" s="2"/>
      <c r="X93" s="2">
        <f t="shared" si="26"/>
        <v>-31778.589999999997</v>
      </c>
      <c r="Y93" s="2"/>
      <c r="Z93" s="6">
        <f t="shared" si="27"/>
        <v>2.6048024590163932</v>
      </c>
    </row>
    <row r="94" spans="1:26" s="70" customFormat="1" ht="15" hidden="1" customHeight="1" outlineLevel="2" x14ac:dyDescent="0.3">
      <c r="A94" s="26"/>
      <c r="B94" s="12" t="str">
        <f>CONCATENATE("          ","6305"," - ","FREIGHT OUT")</f>
        <v xml:space="preserve">          6305 - FREIGHT OUT</v>
      </c>
      <c r="C94" s="12"/>
      <c r="D94" s="7">
        <v>14219.32</v>
      </c>
      <c r="E94" s="3"/>
      <c r="F94" s="8">
        <f t="shared" si="20"/>
        <v>1.6279854883455569E-2</v>
      </c>
      <c r="G94" s="3"/>
      <c r="H94" s="7">
        <v>3850</v>
      </c>
      <c r="I94" s="3"/>
      <c r="J94" s="8">
        <f t="shared" si="21"/>
        <v>1.0902130021351184E-2</v>
      </c>
      <c r="K94" s="3"/>
      <c r="L94" s="7">
        <f t="shared" si="22"/>
        <v>10369.32</v>
      </c>
      <c r="M94" s="3"/>
      <c r="N94" s="8">
        <f t="shared" si="23"/>
        <v>2.6933298701298702</v>
      </c>
      <c r="O94" s="12"/>
      <c r="P94" s="7">
        <v>126337.18</v>
      </c>
      <c r="Q94" s="3"/>
      <c r="R94" s="8">
        <f t="shared" si="24"/>
        <v>1.8964808875313155E-2</v>
      </c>
      <c r="S94" s="3"/>
      <c r="T94" s="7">
        <v>152300</v>
      </c>
      <c r="U94" s="3"/>
      <c r="V94" s="8">
        <f t="shared" si="25"/>
        <v>1.855162595926706E-2</v>
      </c>
      <c r="W94" s="3"/>
      <c r="X94" s="7">
        <f t="shared" si="26"/>
        <v>-25962.820000000007</v>
      </c>
      <c r="Y94" s="3"/>
      <c r="Z94" s="8">
        <f t="shared" si="27"/>
        <v>-0.17047156927117535</v>
      </c>
    </row>
    <row r="95" spans="1:26" s="70" customFormat="1" ht="15" hidden="1" customHeight="1" outlineLevel="2" x14ac:dyDescent="0.3">
      <c r="A95" s="26"/>
      <c r="B95" s="12" t="str">
        <f>CONCATENATE("          ","6307"," - ","POSTAGE")</f>
        <v xml:space="preserve">          6307 - POSTAGE</v>
      </c>
      <c r="C95" s="12"/>
      <c r="D95" s="7">
        <v>-13469.17</v>
      </c>
      <c r="E95" s="3"/>
      <c r="F95" s="8">
        <f t="shared" si="20"/>
        <v>-1.5420999949406388E-2</v>
      </c>
      <c r="G95" s="3"/>
      <c r="H95" s="7">
        <v>-4400</v>
      </c>
      <c r="I95" s="3"/>
      <c r="J95" s="8">
        <f t="shared" si="21"/>
        <v>-1.2459577167258496E-2</v>
      </c>
      <c r="K95" s="3"/>
      <c r="L95" s="7">
        <f t="shared" si="22"/>
        <v>-9069.17</v>
      </c>
      <c r="M95" s="3"/>
      <c r="N95" s="8">
        <f t="shared" si="23"/>
        <v>2.061175</v>
      </c>
      <c r="O95" s="12"/>
      <c r="P95" s="7">
        <v>-170315.77</v>
      </c>
      <c r="Q95" s="3"/>
      <c r="R95" s="8">
        <f t="shared" si="24"/>
        <v>-2.5566551560686997E-2</v>
      </c>
      <c r="S95" s="3"/>
      <c r="T95" s="7">
        <v>-164500</v>
      </c>
      <c r="U95" s="3"/>
      <c r="V95" s="8">
        <f t="shared" si="25"/>
        <v>-2.0037704992117083E-2</v>
      </c>
      <c r="W95" s="3"/>
      <c r="X95" s="7">
        <f t="shared" si="26"/>
        <v>-5815.7699999999895</v>
      </c>
      <c r="Y95" s="3"/>
      <c r="Z95" s="8">
        <f t="shared" si="27"/>
        <v>3.5354224924012093E-2</v>
      </c>
    </row>
    <row r="96" spans="1:26" s="69" customFormat="1" ht="15" customHeight="1" outlineLevel="1" collapsed="1" x14ac:dyDescent="0.3">
      <c r="A96" s="25"/>
      <c r="B96" s="14" t="str">
        <f>CONCATENATE("     ","General                                           ")</f>
        <v xml:space="preserve">     General                                           </v>
      </c>
      <c r="C96" s="14"/>
      <c r="D96" s="2">
        <f>SUM(OSRRefD22_11x_0)</f>
        <v>493.61</v>
      </c>
      <c r="E96" s="2"/>
      <c r="F96" s="6">
        <f t="shared" si="20"/>
        <v>5.6513948409786844E-4</v>
      </c>
      <c r="G96" s="2"/>
      <c r="H96" s="2">
        <f>SUM(OSRRefH22_11x_0)</f>
        <v>700</v>
      </c>
      <c r="I96" s="2"/>
      <c r="J96" s="6">
        <f t="shared" si="21"/>
        <v>1.9822054584274881E-3</v>
      </c>
      <c r="K96" s="2"/>
      <c r="L96" s="2">
        <f t="shared" si="22"/>
        <v>-206.39</v>
      </c>
      <c r="M96" s="2"/>
      <c r="N96" s="6">
        <f t="shared" si="23"/>
        <v>-0.29484285714285713</v>
      </c>
      <c r="O96" s="14"/>
      <c r="P96" s="2">
        <f>SUM(OSRRefP22_11x_0)</f>
        <v>6440.06</v>
      </c>
      <c r="Q96" s="2"/>
      <c r="R96" s="6">
        <f t="shared" si="24"/>
        <v>9.6673447235049294E-4</v>
      </c>
      <c r="S96" s="2"/>
      <c r="T96" s="2">
        <f>SUM(OSRRefT22_11x_0)</f>
        <v>5250</v>
      </c>
      <c r="U96" s="2"/>
      <c r="V96" s="6">
        <f t="shared" si="25"/>
        <v>6.3950122315267277E-4</v>
      </c>
      <c r="W96" s="2"/>
      <c r="X96" s="2">
        <f t="shared" si="26"/>
        <v>1190.0600000000004</v>
      </c>
      <c r="Y96" s="2"/>
      <c r="Z96" s="6">
        <f t="shared" si="27"/>
        <v>0.22667809523809532</v>
      </c>
    </row>
    <row r="97" spans="1:26" s="70" customFormat="1" ht="15" hidden="1" customHeight="1" outlineLevel="2" x14ac:dyDescent="0.3">
      <c r="A97" s="26"/>
      <c r="B97" s="12" t="str">
        <f>CONCATENATE("          ","6276"," - ","PROPERTY TAX")</f>
        <v xml:space="preserve">          6276 - PROPERTY TAX</v>
      </c>
      <c r="C97" s="12"/>
      <c r="D97" s="7"/>
      <c r="E97" s="3"/>
      <c r="F97" s="8">
        <f t="shared" si="20"/>
        <v>0</v>
      </c>
      <c r="G97" s="3"/>
      <c r="H97" s="7"/>
      <c r="I97" s="3"/>
      <c r="J97" s="8">
        <f t="shared" si="21"/>
        <v>0</v>
      </c>
      <c r="K97" s="3"/>
      <c r="L97" s="7">
        <f t="shared" si="22"/>
        <v>0</v>
      </c>
      <c r="M97" s="3"/>
      <c r="N97" s="8">
        <f t="shared" si="23"/>
        <v>0</v>
      </c>
      <c r="O97" s="12"/>
      <c r="P97" s="7"/>
      <c r="Q97" s="3"/>
      <c r="R97" s="8">
        <f t="shared" si="24"/>
        <v>0</v>
      </c>
      <c r="S97" s="3"/>
      <c r="T97" s="7">
        <v>1250</v>
      </c>
      <c r="U97" s="3"/>
      <c r="V97" s="8">
        <f t="shared" si="25"/>
        <v>1.5226219598873163E-4</v>
      </c>
      <c r="W97" s="3"/>
      <c r="X97" s="7">
        <f t="shared" si="26"/>
        <v>-1250</v>
      </c>
      <c r="Y97" s="3"/>
      <c r="Z97" s="8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","6279"," - ","GENERAL EXPENSE")</f>
        <v xml:space="preserve">          6279 - GENERAL EXPENSE</v>
      </c>
      <c r="C98" s="12"/>
      <c r="D98" s="7">
        <v>493.61</v>
      </c>
      <c r="E98" s="3"/>
      <c r="F98" s="8">
        <f t="shared" si="20"/>
        <v>5.6513948409786844E-4</v>
      </c>
      <c r="G98" s="3"/>
      <c r="H98" s="7">
        <v>700</v>
      </c>
      <c r="I98" s="3"/>
      <c r="J98" s="8">
        <f t="shared" si="21"/>
        <v>1.9822054584274881E-3</v>
      </c>
      <c r="K98" s="3"/>
      <c r="L98" s="7">
        <f t="shared" si="22"/>
        <v>-206.39</v>
      </c>
      <c r="M98" s="3"/>
      <c r="N98" s="8">
        <f t="shared" si="23"/>
        <v>-0.29484285714285713</v>
      </c>
      <c r="O98" s="12"/>
      <c r="P98" s="7">
        <v>6440.06</v>
      </c>
      <c r="Q98" s="3"/>
      <c r="R98" s="8">
        <f t="shared" si="24"/>
        <v>9.6673447235049294E-4</v>
      </c>
      <c r="S98" s="3"/>
      <c r="T98" s="7">
        <v>4000</v>
      </c>
      <c r="U98" s="3"/>
      <c r="V98" s="8">
        <f t="shared" si="25"/>
        <v>4.8723902716394117E-4</v>
      </c>
      <c r="W98" s="3"/>
      <c r="X98" s="7">
        <f t="shared" si="26"/>
        <v>2440.0600000000004</v>
      </c>
      <c r="Y98" s="3"/>
      <c r="Z98" s="8">
        <f t="shared" si="27"/>
        <v>0.61001500000000008</v>
      </c>
    </row>
    <row r="99" spans="1:26" s="69" customFormat="1" ht="15" customHeight="1" outlineLevel="1" collapsed="1" x14ac:dyDescent="0.3">
      <c r="A99" s="25"/>
      <c r="B99" s="14" t="str">
        <f>CONCATENATE("     ","Insurance                                         ")</f>
        <v xml:space="preserve">     Insurance                                         </v>
      </c>
      <c r="C99" s="14"/>
      <c r="D99" s="2">
        <f>SUM(OSRRefD22_12x_0)</f>
        <v>5494.57</v>
      </c>
      <c r="E99" s="2"/>
      <c r="F99" s="6">
        <f t="shared" si="20"/>
        <v>6.290793247988544E-3</v>
      </c>
      <c r="G99" s="2"/>
      <c r="H99" s="2">
        <f>SUM(OSRRefH22_12x_0)</f>
        <v>5375</v>
      </c>
      <c r="I99" s="2"/>
      <c r="J99" s="6">
        <f t="shared" si="21"/>
        <v>1.5220506198639641E-2</v>
      </c>
      <c r="K99" s="2"/>
      <c r="L99" s="2">
        <f t="shared" si="22"/>
        <v>119.56999999999971</v>
      </c>
      <c r="M99" s="2"/>
      <c r="N99" s="6">
        <f t="shared" si="23"/>
        <v>2.2245581395348782E-2</v>
      </c>
      <c r="O99" s="14"/>
      <c r="P99" s="2">
        <f>SUM(OSRRefP22_12x_0)</f>
        <v>54945.7</v>
      </c>
      <c r="Q99" s="2"/>
      <c r="R99" s="6">
        <f t="shared" si="24"/>
        <v>8.2480446296196736E-3</v>
      </c>
      <c r="S99" s="2"/>
      <c r="T99" s="2">
        <f>SUM(OSRRefT22_12x_0)</f>
        <v>53750</v>
      </c>
      <c r="U99" s="2"/>
      <c r="V99" s="6">
        <f t="shared" si="25"/>
        <v>6.5472744275154602E-3</v>
      </c>
      <c r="W99" s="2"/>
      <c r="X99" s="2">
        <f t="shared" si="26"/>
        <v>1195.6999999999971</v>
      </c>
      <c r="Y99" s="2"/>
      <c r="Z99" s="6">
        <f t="shared" si="27"/>
        <v>2.2245581395348782E-2</v>
      </c>
    </row>
    <row r="100" spans="1:26" s="70" customFormat="1" ht="15" hidden="1" customHeight="1" outlineLevel="2" x14ac:dyDescent="0.3">
      <c r="A100" s="26"/>
      <c r="B100" s="12" t="str">
        <f>CONCATENATE("          ","6314"," - ","LIABILITY INSURANCE")</f>
        <v xml:space="preserve">          6314 - LIABILITY INSURANCE</v>
      </c>
      <c r="C100" s="12"/>
      <c r="D100" s="7">
        <v>5494.57</v>
      </c>
      <c r="E100" s="3"/>
      <c r="F100" s="8">
        <f t="shared" si="20"/>
        <v>6.290793247988544E-3</v>
      </c>
      <c r="G100" s="3"/>
      <c r="H100" s="7">
        <v>5375</v>
      </c>
      <c r="I100" s="3"/>
      <c r="J100" s="8">
        <f t="shared" si="21"/>
        <v>1.5220506198639641E-2</v>
      </c>
      <c r="K100" s="3"/>
      <c r="L100" s="7">
        <f t="shared" si="22"/>
        <v>119.56999999999971</v>
      </c>
      <c r="M100" s="3"/>
      <c r="N100" s="8">
        <f t="shared" si="23"/>
        <v>2.2245581395348782E-2</v>
      </c>
      <c r="O100" s="12"/>
      <c r="P100" s="7">
        <v>54945.7</v>
      </c>
      <c r="Q100" s="3"/>
      <c r="R100" s="8">
        <f t="shared" si="24"/>
        <v>8.2480446296196736E-3</v>
      </c>
      <c r="S100" s="3"/>
      <c r="T100" s="7">
        <v>53750</v>
      </c>
      <c r="U100" s="3"/>
      <c r="V100" s="8">
        <f t="shared" si="25"/>
        <v>6.5472744275154602E-3</v>
      </c>
      <c r="W100" s="3"/>
      <c r="X100" s="7">
        <f t="shared" si="26"/>
        <v>1195.6999999999971</v>
      </c>
      <c r="Y100" s="3"/>
      <c r="Z100" s="8">
        <f t="shared" si="27"/>
        <v>2.2245581395348782E-2</v>
      </c>
    </row>
    <row r="101" spans="1:26" s="69" customFormat="1" ht="15" customHeight="1" outlineLevel="1" collapsed="1" x14ac:dyDescent="0.3">
      <c r="A101" s="25"/>
      <c r="B101" s="14" t="str">
        <f>CONCATENATE("     ","Inventory Adjustment                              ")</f>
        <v xml:space="preserve">     Inventory Adjustment                              </v>
      </c>
      <c r="C101" s="14"/>
      <c r="D101" s="2">
        <f>SUM(OSRRefD22_13x_0)</f>
        <v>5100</v>
      </c>
      <c r="E101" s="2"/>
      <c r="F101" s="6">
        <f t="shared" si="20"/>
        <v>5.8390457423859506E-3</v>
      </c>
      <c r="G101" s="2"/>
      <c r="H101" s="2">
        <f>SUM(OSRRefH22_13x_0)</f>
        <v>5100</v>
      </c>
      <c r="I101" s="2"/>
      <c r="J101" s="6">
        <f t="shared" si="21"/>
        <v>1.4441782625685984E-2</v>
      </c>
      <c r="K101" s="2"/>
      <c r="L101" s="2">
        <f t="shared" si="22"/>
        <v>0</v>
      </c>
      <c r="M101" s="2"/>
      <c r="N101" s="6">
        <f t="shared" si="23"/>
        <v>0</v>
      </c>
      <c r="O101" s="14"/>
      <c r="P101" s="2">
        <f>SUM(OSRRefP22_13x_0)</f>
        <v>55000</v>
      </c>
      <c r="Q101" s="2"/>
      <c r="R101" s="6">
        <f t="shared" si="24"/>
        <v>8.2561957465112287E-3</v>
      </c>
      <c r="S101" s="2"/>
      <c r="T101" s="2">
        <f>SUM(OSRRefT22_13x_0)</f>
        <v>55000</v>
      </c>
      <c r="U101" s="2"/>
      <c r="V101" s="6">
        <f t="shared" si="25"/>
        <v>6.6995366235041917E-3</v>
      </c>
      <c r="W101" s="2"/>
      <c r="X101" s="2">
        <f t="shared" si="26"/>
        <v>0</v>
      </c>
      <c r="Y101" s="2"/>
      <c r="Z101" s="6">
        <f t="shared" si="27"/>
        <v>0</v>
      </c>
    </row>
    <row r="102" spans="1:26" s="70" customFormat="1" ht="15" hidden="1" customHeight="1" outlineLevel="2" x14ac:dyDescent="0.3">
      <c r="A102" s="26"/>
      <c r="B102" s="12" t="str">
        <f>CONCATENATE("          ","6408"," - ","INVENTORY ADJUSTMENT")</f>
        <v xml:space="preserve">          6408 - INVENTORY ADJUSTMENT</v>
      </c>
      <c r="C102" s="12"/>
      <c r="D102" s="7">
        <v>5100</v>
      </c>
      <c r="E102" s="3"/>
      <c r="F102" s="8">
        <f t="shared" si="20"/>
        <v>5.8390457423859506E-3</v>
      </c>
      <c r="G102" s="3"/>
      <c r="H102" s="7">
        <v>5100</v>
      </c>
      <c r="I102" s="3"/>
      <c r="J102" s="8">
        <f t="shared" si="21"/>
        <v>1.4441782625685984E-2</v>
      </c>
      <c r="K102" s="3"/>
      <c r="L102" s="7">
        <f t="shared" si="22"/>
        <v>0</v>
      </c>
      <c r="M102" s="3"/>
      <c r="N102" s="8">
        <f t="shared" si="23"/>
        <v>0</v>
      </c>
      <c r="O102" s="12"/>
      <c r="P102" s="7">
        <v>55000</v>
      </c>
      <c r="Q102" s="3"/>
      <c r="R102" s="8">
        <f t="shared" si="24"/>
        <v>8.2561957465112287E-3</v>
      </c>
      <c r="S102" s="3"/>
      <c r="T102" s="7">
        <v>55000</v>
      </c>
      <c r="U102" s="3"/>
      <c r="V102" s="8">
        <f t="shared" si="25"/>
        <v>6.6995366235041917E-3</v>
      </c>
      <c r="W102" s="3"/>
      <c r="X102" s="7">
        <f t="shared" si="26"/>
        <v>0</v>
      </c>
      <c r="Y102" s="3"/>
      <c r="Z102" s="8">
        <f t="shared" si="27"/>
        <v>0</v>
      </c>
    </row>
    <row r="103" spans="1:26" s="69" customFormat="1" ht="15" customHeight="1" outlineLevel="1" collapsed="1" x14ac:dyDescent="0.3">
      <c r="A103" s="25"/>
      <c r="B103" s="14" t="str">
        <f>CONCATENATE("     ","Professional Services                             ")</f>
        <v xml:space="preserve">     Professional Services                             </v>
      </c>
      <c r="C103" s="14"/>
      <c r="D103" s="2">
        <f>SUM(OSRRefD22_14x_0)</f>
        <v>0</v>
      </c>
      <c r="E103" s="2"/>
      <c r="F103" s="6">
        <f t="shared" si="20"/>
        <v>0</v>
      </c>
      <c r="G103" s="2"/>
      <c r="H103" s="2">
        <f>SUM(OSRRefH22_14x_0)</f>
        <v>250</v>
      </c>
      <c r="I103" s="2"/>
      <c r="J103" s="6">
        <f t="shared" si="21"/>
        <v>7.0793052086696008E-4</v>
      </c>
      <c r="K103" s="2"/>
      <c r="L103" s="2">
        <f t="shared" si="22"/>
        <v>-250</v>
      </c>
      <c r="M103" s="2"/>
      <c r="N103" s="6">
        <f t="shared" si="23"/>
        <v>-1</v>
      </c>
      <c r="O103" s="14"/>
      <c r="P103" s="2">
        <f>SUM(OSRRefP22_14x_0)</f>
        <v>9626.5300000000007</v>
      </c>
      <c r="Q103" s="2"/>
      <c r="R103" s="6">
        <f t="shared" si="24"/>
        <v>1.4450639279938681E-3</v>
      </c>
      <c r="S103" s="2"/>
      <c r="T103" s="2">
        <f>SUM(OSRRefT22_14x_0)</f>
        <v>1750</v>
      </c>
      <c r="U103" s="2"/>
      <c r="V103" s="6">
        <f t="shared" si="25"/>
        <v>2.1316707438422429E-4</v>
      </c>
      <c r="W103" s="2"/>
      <c r="X103" s="2">
        <f t="shared" si="26"/>
        <v>7876.5300000000007</v>
      </c>
      <c r="Y103" s="2"/>
      <c r="Z103" s="6">
        <f t="shared" si="27"/>
        <v>4.5008742857142865</v>
      </c>
    </row>
    <row r="104" spans="1:26" s="70" customFormat="1" ht="15" hidden="1" customHeight="1" outlineLevel="2" x14ac:dyDescent="0.3">
      <c r="A104" s="26"/>
      <c r="B104" s="12" t="str">
        <f>CONCATENATE("          ","6336"," - ","PROFESSIONAL SERVICES")</f>
        <v xml:space="preserve">          6336 - PROFESSIONAL SERVICES</v>
      </c>
      <c r="C104" s="12"/>
      <c r="D104" s="7"/>
      <c r="E104" s="3"/>
      <c r="F104" s="8">
        <f t="shared" si="20"/>
        <v>0</v>
      </c>
      <c r="G104" s="3"/>
      <c r="H104" s="7">
        <v>250</v>
      </c>
      <c r="I104" s="3"/>
      <c r="J104" s="8">
        <f t="shared" si="21"/>
        <v>7.0793052086696008E-4</v>
      </c>
      <c r="K104" s="3"/>
      <c r="L104" s="7">
        <f t="shared" si="22"/>
        <v>-250</v>
      </c>
      <c r="M104" s="3"/>
      <c r="N104" s="8">
        <f t="shared" si="23"/>
        <v>-1</v>
      </c>
      <c r="O104" s="12"/>
      <c r="P104" s="7">
        <v>9626.5300000000007</v>
      </c>
      <c r="Q104" s="3"/>
      <c r="R104" s="8">
        <f t="shared" si="24"/>
        <v>1.4450639279938681E-3</v>
      </c>
      <c r="S104" s="3"/>
      <c r="T104" s="7">
        <v>1750</v>
      </c>
      <c r="U104" s="3"/>
      <c r="V104" s="8">
        <f t="shared" si="25"/>
        <v>2.1316707438422429E-4</v>
      </c>
      <c r="W104" s="3"/>
      <c r="X104" s="7">
        <f t="shared" si="26"/>
        <v>7876.5300000000007</v>
      </c>
      <c r="Y104" s="3"/>
      <c r="Z104" s="8">
        <f t="shared" si="27"/>
        <v>4.5008742857142865</v>
      </c>
    </row>
    <row r="105" spans="1:26" s="69" customFormat="1" ht="15" customHeight="1" outlineLevel="1" collapsed="1" x14ac:dyDescent="0.3">
      <c r="A105" s="25"/>
      <c r="B105" s="14" t="str">
        <f>CONCATENATE("     ","Rent                                              ")</f>
        <v xml:space="preserve">     Rent                                              </v>
      </c>
      <c r="C105" s="14"/>
      <c r="D105" s="2">
        <f>SUM(OSRRefD22_15x_0)</f>
        <v>6100</v>
      </c>
      <c r="E105" s="2"/>
      <c r="F105" s="6">
        <f t="shared" si="20"/>
        <v>6.9839566722655491E-3</v>
      </c>
      <c r="G105" s="2"/>
      <c r="H105" s="2">
        <f>SUM(OSRRefH22_15x_0)</f>
        <v>6100</v>
      </c>
      <c r="I105" s="2"/>
      <c r="J105" s="6">
        <f t="shared" si="21"/>
        <v>1.7273504709153824E-2</v>
      </c>
      <c r="K105" s="2"/>
      <c r="L105" s="2">
        <f t="shared" si="22"/>
        <v>0</v>
      </c>
      <c r="M105" s="2"/>
      <c r="N105" s="6">
        <f t="shared" si="23"/>
        <v>0</v>
      </c>
      <c r="O105" s="14"/>
      <c r="P105" s="2">
        <f>SUM(OSRRefP22_15x_0)</f>
        <v>61000</v>
      </c>
      <c r="Q105" s="2"/>
      <c r="R105" s="6">
        <f t="shared" si="24"/>
        <v>9.1568716461306356E-3</v>
      </c>
      <c r="S105" s="2"/>
      <c r="T105" s="2">
        <f>SUM(OSRRefT22_15x_0)</f>
        <v>61000</v>
      </c>
      <c r="U105" s="2"/>
      <c r="V105" s="6">
        <f t="shared" si="25"/>
        <v>7.4303951642501033E-3</v>
      </c>
      <c r="W105" s="2"/>
      <c r="X105" s="2">
        <f t="shared" si="26"/>
        <v>0</v>
      </c>
      <c r="Y105" s="2"/>
      <c r="Z105" s="6">
        <f t="shared" si="27"/>
        <v>0</v>
      </c>
    </row>
    <row r="106" spans="1:26" s="70" customFormat="1" ht="15" hidden="1" customHeight="1" outlineLevel="2" x14ac:dyDescent="0.3">
      <c r="A106" s="26"/>
      <c r="B106" s="12" t="str">
        <f>CONCATENATE("          ","6273"," - ","RENT")</f>
        <v xml:space="preserve">          6273 - RENT</v>
      </c>
      <c r="C106" s="12"/>
      <c r="D106" s="7">
        <v>6100</v>
      </c>
      <c r="E106" s="3"/>
      <c r="F106" s="8">
        <f t="shared" si="20"/>
        <v>6.9839566722655491E-3</v>
      </c>
      <c r="G106" s="3"/>
      <c r="H106" s="7">
        <v>6100</v>
      </c>
      <c r="I106" s="3"/>
      <c r="J106" s="8">
        <f t="shared" si="21"/>
        <v>1.7273504709153824E-2</v>
      </c>
      <c r="K106" s="3"/>
      <c r="L106" s="7">
        <f t="shared" si="22"/>
        <v>0</v>
      </c>
      <c r="M106" s="3"/>
      <c r="N106" s="8">
        <f t="shared" si="23"/>
        <v>0</v>
      </c>
      <c r="O106" s="12"/>
      <c r="P106" s="7">
        <v>61000</v>
      </c>
      <c r="Q106" s="3"/>
      <c r="R106" s="8">
        <f t="shared" si="24"/>
        <v>9.1568716461306356E-3</v>
      </c>
      <c r="S106" s="3"/>
      <c r="T106" s="7">
        <v>61000</v>
      </c>
      <c r="U106" s="3"/>
      <c r="V106" s="8">
        <f t="shared" si="25"/>
        <v>7.4303951642501033E-3</v>
      </c>
      <c r="W106" s="3"/>
      <c r="X106" s="7">
        <f t="shared" si="26"/>
        <v>0</v>
      </c>
      <c r="Y106" s="3"/>
      <c r="Z106" s="8">
        <f t="shared" si="27"/>
        <v>0</v>
      </c>
    </row>
    <row r="107" spans="1:26" s="69" customFormat="1" ht="15" customHeight="1" outlineLevel="1" collapsed="1" x14ac:dyDescent="0.3">
      <c r="A107" s="25"/>
      <c r="B107" s="14" t="str">
        <f>CONCATENATE("     ","Repair and Maintenance                            ")</f>
        <v xml:space="preserve">     Repair and Maintenance                            </v>
      </c>
      <c r="C107" s="14"/>
      <c r="D107" s="2">
        <f>SUM(OSRRefD22_16x_0)</f>
        <v>6647.7800000000007</v>
      </c>
      <c r="E107" s="2"/>
      <c r="F107" s="6">
        <f t="shared" si="20"/>
        <v>7.6111159814349965E-3</v>
      </c>
      <c r="G107" s="2"/>
      <c r="H107" s="2">
        <f>SUM(OSRRefH22_16x_0)</f>
        <v>10745</v>
      </c>
      <c r="I107" s="2"/>
      <c r="J107" s="6">
        <f t="shared" si="21"/>
        <v>3.0426853786861944E-2</v>
      </c>
      <c r="K107" s="2"/>
      <c r="L107" s="2">
        <f t="shared" si="22"/>
        <v>-4097.2199999999993</v>
      </c>
      <c r="M107" s="2"/>
      <c r="N107" s="6">
        <f t="shared" si="23"/>
        <v>-0.38131409958120049</v>
      </c>
      <c r="O107" s="14"/>
      <c r="P107" s="2">
        <f>SUM(OSRRefP22_16x_0)</f>
        <v>137010.46</v>
      </c>
      <c r="Q107" s="2"/>
      <c r="R107" s="6">
        <f t="shared" si="24"/>
        <v>2.0567003219628125E-2</v>
      </c>
      <c r="S107" s="2"/>
      <c r="T107" s="2">
        <f>SUM(OSRRefT22_16x_0)</f>
        <v>158270</v>
      </c>
      <c r="U107" s="2"/>
      <c r="V107" s="6">
        <f t="shared" si="25"/>
        <v>1.9278830207309243E-2</v>
      </c>
      <c r="W107" s="2"/>
      <c r="X107" s="2">
        <f t="shared" si="26"/>
        <v>-21259.540000000008</v>
      </c>
      <c r="Y107" s="2"/>
      <c r="Z107" s="6">
        <f t="shared" si="27"/>
        <v>-0.13432450875086882</v>
      </c>
    </row>
    <row r="108" spans="1:26" s="70" customFormat="1" ht="15" hidden="1" customHeight="1" outlineLevel="2" x14ac:dyDescent="0.3">
      <c r="A108" s="26"/>
      <c r="B108" s="12" t="str">
        <f>CONCATENATE("          ","6371"," - ","COMPUTER SOFTWARE MAINTENANCE")</f>
        <v xml:space="preserve">          6371 - COMPUTER SOFTWARE MAINTENANCE</v>
      </c>
      <c r="C108" s="12"/>
      <c r="D108" s="7"/>
      <c r="E108" s="3"/>
      <c r="F108" s="8">
        <f t="shared" si="20"/>
        <v>0</v>
      </c>
      <c r="G108" s="3"/>
      <c r="H108" s="7">
        <v>1000</v>
      </c>
      <c r="I108" s="3"/>
      <c r="J108" s="8">
        <f t="shared" si="21"/>
        <v>2.8317220834678403E-3</v>
      </c>
      <c r="K108" s="3"/>
      <c r="L108" s="7">
        <f t="shared" si="22"/>
        <v>-1000</v>
      </c>
      <c r="M108" s="3"/>
      <c r="N108" s="8">
        <f t="shared" si="23"/>
        <v>-1</v>
      </c>
      <c r="O108" s="12"/>
      <c r="P108" s="7">
        <v>62511</v>
      </c>
      <c r="Q108" s="3"/>
      <c r="R108" s="8">
        <f t="shared" si="24"/>
        <v>9.3836918601847893E-3</v>
      </c>
      <c r="S108" s="3"/>
      <c r="T108" s="7">
        <v>49100</v>
      </c>
      <c r="U108" s="3"/>
      <c r="V108" s="8">
        <f t="shared" si="25"/>
        <v>5.980859058437378E-3</v>
      </c>
      <c r="W108" s="3"/>
      <c r="X108" s="7">
        <f t="shared" si="26"/>
        <v>13411</v>
      </c>
      <c r="Y108" s="3"/>
      <c r="Z108" s="8">
        <f t="shared" si="27"/>
        <v>0.27313645621181265</v>
      </c>
    </row>
    <row r="109" spans="1:26" s="70" customFormat="1" ht="15" hidden="1" customHeight="1" outlineLevel="2" x14ac:dyDescent="0.3">
      <c r="A109" s="26"/>
      <c r="B109" s="12" t="str">
        <f>CONCATENATE("          ","6372"," - ","COMPUTER HARDWARE MAINTENANCE")</f>
        <v xml:space="preserve">          6372 - COMPUTER HARDWARE MAINTENANCE</v>
      </c>
      <c r="C109" s="12"/>
      <c r="D109" s="7"/>
      <c r="E109" s="3"/>
      <c r="F109" s="8">
        <f t="shared" si="20"/>
        <v>0</v>
      </c>
      <c r="G109" s="3"/>
      <c r="H109" s="7">
        <v>3750</v>
      </c>
      <c r="I109" s="3"/>
      <c r="J109" s="8">
        <f t="shared" si="21"/>
        <v>1.06189578130044E-2</v>
      </c>
      <c r="K109" s="3"/>
      <c r="L109" s="7">
        <f t="shared" si="22"/>
        <v>-3750</v>
      </c>
      <c r="M109" s="3"/>
      <c r="N109" s="8">
        <f t="shared" si="23"/>
        <v>-1</v>
      </c>
      <c r="O109" s="12"/>
      <c r="P109" s="7"/>
      <c r="Q109" s="3"/>
      <c r="R109" s="8">
        <f t="shared" si="24"/>
        <v>0</v>
      </c>
      <c r="S109" s="3"/>
      <c r="T109" s="7">
        <v>34120</v>
      </c>
      <c r="U109" s="3"/>
      <c r="V109" s="8">
        <f t="shared" si="25"/>
        <v>4.1561489017084181E-3</v>
      </c>
      <c r="W109" s="3"/>
      <c r="X109" s="7">
        <f t="shared" si="26"/>
        <v>-34120</v>
      </c>
      <c r="Y109" s="3"/>
      <c r="Z109" s="8">
        <f t="shared" si="27"/>
        <v>-1</v>
      </c>
    </row>
    <row r="110" spans="1:26" s="70" customFormat="1" ht="15" hidden="1" customHeight="1" outlineLevel="2" x14ac:dyDescent="0.3">
      <c r="A110" s="26"/>
      <c r="B110" s="12" t="str">
        <f>CONCATENATE("          ","6373"," - ","MAINTENANCE CONTRACTS")</f>
        <v xml:space="preserve">          6373 - MAINTENANCE CONTRACTS</v>
      </c>
      <c r="C110" s="12"/>
      <c r="D110" s="7">
        <v>800.18</v>
      </c>
      <c r="E110" s="3"/>
      <c r="F110" s="8">
        <f t="shared" si="20"/>
        <v>9.1613482787105684E-4</v>
      </c>
      <c r="G110" s="3"/>
      <c r="H110" s="7">
        <v>5955</v>
      </c>
      <c r="I110" s="3"/>
      <c r="J110" s="8">
        <f t="shared" si="21"/>
        <v>1.6862905007050989E-2</v>
      </c>
      <c r="K110" s="3"/>
      <c r="L110" s="7">
        <f t="shared" si="22"/>
        <v>-5154.82</v>
      </c>
      <c r="M110" s="3"/>
      <c r="N110" s="8">
        <f t="shared" si="23"/>
        <v>-0.86562888329135179</v>
      </c>
      <c r="O110" s="12"/>
      <c r="P110" s="7">
        <v>22371.7</v>
      </c>
      <c r="Q110" s="3"/>
      <c r="R110" s="8">
        <f t="shared" si="24"/>
        <v>3.3582751705859139E-3</v>
      </c>
      <c r="S110" s="3"/>
      <c r="T110" s="7">
        <v>74150</v>
      </c>
      <c r="U110" s="3"/>
      <c r="V110" s="8">
        <f t="shared" si="25"/>
        <v>9.0321934660515593E-3</v>
      </c>
      <c r="W110" s="3"/>
      <c r="X110" s="7">
        <f t="shared" si="26"/>
        <v>-51778.3</v>
      </c>
      <c r="Y110" s="3"/>
      <c r="Z110" s="8">
        <f t="shared" si="27"/>
        <v>-0.69829130141604856</v>
      </c>
    </row>
    <row r="111" spans="1:26" s="70" customFormat="1" ht="15" hidden="1" customHeight="1" outlineLevel="2" x14ac:dyDescent="0.3">
      <c r="A111" s="26"/>
      <c r="B111" s="12" t="str">
        <f>CONCATENATE("          ","6375"," - ","OUTSIDE REPAIRS &amp; MAINTENANCE")</f>
        <v xml:space="preserve">          6375 - OUTSIDE REPAIRS &amp; MAINTENANCE</v>
      </c>
      <c r="C111" s="12"/>
      <c r="D111" s="7">
        <v>5847.6</v>
      </c>
      <c r="E111" s="3"/>
      <c r="F111" s="8">
        <f t="shared" si="20"/>
        <v>6.6949811535639385E-3</v>
      </c>
      <c r="G111" s="3"/>
      <c r="H111" s="7">
        <v>40</v>
      </c>
      <c r="I111" s="3"/>
      <c r="J111" s="8">
        <f t="shared" si="21"/>
        <v>1.132688833387136E-4</v>
      </c>
      <c r="K111" s="3"/>
      <c r="L111" s="7">
        <f t="shared" si="22"/>
        <v>5807.6</v>
      </c>
      <c r="M111" s="3"/>
      <c r="N111" s="8">
        <f t="shared" si="23"/>
        <v>145.19</v>
      </c>
      <c r="O111" s="12"/>
      <c r="P111" s="7">
        <v>52127.76</v>
      </c>
      <c r="Q111" s="3"/>
      <c r="R111" s="8">
        <f t="shared" si="24"/>
        <v>7.8250361888574215E-3</v>
      </c>
      <c r="S111" s="3"/>
      <c r="T111" s="7">
        <v>900</v>
      </c>
      <c r="U111" s="3"/>
      <c r="V111" s="8">
        <f t="shared" si="25"/>
        <v>1.0962878111188678E-4</v>
      </c>
      <c r="W111" s="3"/>
      <c r="X111" s="7">
        <f t="shared" si="26"/>
        <v>51227.76</v>
      </c>
      <c r="Y111" s="3"/>
      <c r="Z111" s="8">
        <f t="shared" si="27"/>
        <v>56.919733333333333</v>
      </c>
    </row>
    <row r="112" spans="1:26" s="69" customFormat="1" ht="15" customHeight="1" outlineLevel="1" collapsed="1" x14ac:dyDescent="0.3">
      <c r="A112" s="25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2">
        <f>SUM(OSRRefD22_17x_0)</f>
        <v>28886.6</v>
      </c>
      <c r="E112" s="2"/>
      <c r="F112" s="6">
        <f t="shared" si="20"/>
        <v>3.3072584067059999E-2</v>
      </c>
      <c r="G112" s="2"/>
      <c r="H112" s="2">
        <f>SUM(OSRRefH22_17x_0)</f>
        <v>17203</v>
      </c>
      <c r="I112" s="2"/>
      <c r="J112" s="6">
        <f t="shared" si="21"/>
        <v>4.8714115001897255E-2</v>
      </c>
      <c r="K112" s="2"/>
      <c r="L112" s="2">
        <f t="shared" si="22"/>
        <v>11683.599999999999</v>
      </c>
      <c r="M112" s="2"/>
      <c r="N112" s="6">
        <f t="shared" si="23"/>
        <v>0.67916061152124618</v>
      </c>
      <c r="O112" s="14"/>
      <c r="P112" s="2">
        <f>SUM(OSRRefP22_17x_0)</f>
        <v>81622.53</v>
      </c>
      <c r="Q112" s="2"/>
      <c r="R112" s="6">
        <f t="shared" si="24"/>
        <v>1.2252574272827003E-2</v>
      </c>
      <c r="S112" s="2"/>
      <c r="T112" s="2">
        <f>SUM(OSRRefT22_17x_0)</f>
        <v>89532</v>
      </c>
      <c r="U112" s="2"/>
      <c r="V112" s="6">
        <f t="shared" si="25"/>
        <v>1.0905871145010496E-2</v>
      </c>
      <c r="W112" s="2"/>
      <c r="X112" s="2">
        <f t="shared" si="26"/>
        <v>-7909.4700000000012</v>
      </c>
      <c r="Y112" s="2"/>
      <c r="Z112" s="6">
        <f t="shared" si="27"/>
        <v>-8.8342380377965435E-2</v>
      </c>
    </row>
    <row r="113" spans="1:26" s="70" customFormat="1" ht="15" hidden="1" customHeight="1" outlineLevel="2" x14ac:dyDescent="0.3">
      <c r="A113" s="26"/>
      <c r="B113" s="12" t="str">
        <f>CONCATENATE("          ","6252"," - ","ROYALTY DUE CSTV")</f>
        <v xml:space="preserve">          6252 - ROYALTY DUE CSTV</v>
      </c>
      <c r="C113" s="12"/>
      <c r="D113" s="7"/>
      <c r="E113" s="3"/>
      <c r="F113" s="8">
        <f t="shared" si="20"/>
        <v>0</v>
      </c>
      <c r="G113" s="3"/>
      <c r="H113" s="7">
        <v>948</v>
      </c>
      <c r="I113" s="3"/>
      <c r="J113" s="8">
        <f t="shared" si="21"/>
        <v>2.6844725351275124E-3</v>
      </c>
      <c r="K113" s="3"/>
      <c r="L113" s="7">
        <f t="shared" si="22"/>
        <v>-948</v>
      </c>
      <c r="M113" s="3"/>
      <c r="N113" s="8">
        <f t="shared" si="23"/>
        <v>-1</v>
      </c>
      <c r="O113" s="12"/>
      <c r="P113" s="7"/>
      <c r="Q113" s="3"/>
      <c r="R113" s="8">
        <f t="shared" si="24"/>
        <v>0</v>
      </c>
      <c r="S113" s="3"/>
      <c r="T113" s="7">
        <v>13530</v>
      </c>
      <c r="U113" s="3"/>
      <c r="V113" s="8">
        <f t="shared" si="25"/>
        <v>1.6480860093820312E-3</v>
      </c>
      <c r="W113" s="3"/>
      <c r="X113" s="7">
        <f t="shared" si="26"/>
        <v>-13530</v>
      </c>
      <c r="Y113" s="3"/>
      <c r="Z113" s="8">
        <f t="shared" si="27"/>
        <v>-1</v>
      </c>
    </row>
    <row r="114" spans="1:26" s="70" customFormat="1" ht="15" hidden="1" customHeight="1" outlineLevel="2" x14ac:dyDescent="0.3">
      <c r="A114" s="26"/>
      <c r="B114" s="12" t="str">
        <f>CONCATENATE("          ","6253"," - ","ROYALTY DUE ATHLETICS-LRG")</f>
        <v xml:space="preserve">          6253 - ROYALTY DUE ATHLETICS-LRG</v>
      </c>
      <c r="C114" s="12"/>
      <c r="D114" s="7">
        <v>15944.33</v>
      </c>
      <c r="E114" s="3"/>
      <c r="F114" s="8">
        <f t="shared" si="20"/>
        <v>1.8254837686607173E-2</v>
      </c>
      <c r="G114" s="3"/>
      <c r="H114" s="7">
        <v>14555</v>
      </c>
      <c r="I114" s="3"/>
      <c r="J114" s="8">
        <f t="shared" si="21"/>
        <v>4.1215714924874414E-2</v>
      </c>
      <c r="K114" s="3"/>
      <c r="L114" s="7">
        <f t="shared" si="22"/>
        <v>1389.33</v>
      </c>
      <c r="M114" s="3"/>
      <c r="N114" s="8">
        <f t="shared" si="23"/>
        <v>9.5453795946410167E-2</v>
      </c>
      <c r="O114" s="12"/>
      <c r="P114" s="7">
        <v>55165.49</v>
      </c>
      <c r="Q114" s="3"/>
      <c r="R114" s="8">
        <f t="shared" si="24"/>
        <v>8.2810378889492317E-3</v>
      </c>
      <c r="S114" s="3"/>
      <c r="T114" s="7">
        <v>38502</v>
      </c>
      <c r="U114" s="3"/>
      <c r="V114" s="8">
        <f t="shared" si="25"/>
        <v>4.6899192559665161E-3</v>
      </c>
      <c r="W114" s="3"/>
      <c r="X114" s="7">
        <f t="shared" si="26"/>
        <v>16663.489999999998</v>
      </c>
      <c r="Y114" s="3"/>
      <c r="Z114" s="8">
        <f t="shared" si="27"/>
        <v>0.4327954391979637</v>
      </c>
    </row>
    <row r="115" spans="1:26" s="70" customFormat="1" ht="15" hidden="1" customHeight="1" outlineLevel="2" x14ac:dyDescent="0.3">
      <c r="A115" s="26"/>
      <c r="B115" s="12" t="str">
        <f>CONCATENATE("          ","6254"," - ","ROYALTY &amp; COMMISSIONS")</f>
        <v xml:space="preserve">          6254 - ROYALTY &amp; COMMISSIONS</v>
      </c>
      <c r="C115" s="12"/>
      <c r="D115" s="7">
        <v>10897.24</v>
      </c>
      <c r="E115" s="3"/>
      <c r="F115" s="8">
        <f t="shared" si="20"/>
        <v>1.2476369181521153E-2</v>
      </c>
      <c r="G115" s="3"/>
      <c r="H115" s="7">
        <v>1000</v>
      </c>
      <c r="I115" s="3"/>
      <c r="J115" s="8">
        <f t="shared" si="21"/>
        <v>2.8317220834678403E-3</v>
      </c>
      <c r="K115" s="3"/>
      <c r="L115" s="7">
        <f t="shared" si="22"/>
        <v>9897.24</v>
      </c>
      <c r="M115" s="3"/>
      <c r="N115" s="8">
        <f t="shared" si="23"/>
        <v>9.89724</v>
      </c>
      <c r="O115" s="12"/>
      <c r="P115" s="7">
        <v>14406.39</v>
      </c>
      <c r="Q115" s="3"/>
      <c r="R115" s="8">
        <f t="shared" si="24"/>
        <v>2.162581378919671E-3</v>
      </c>
      <c r="S115" s="3"/>
      <c r="T115" s="7">
        <v>3500</v>
      </c>
      <c r="U115" s="3"/>
      <c r="V115" s="8">
        <f t="shared" si="25"/>
        <v>4.2633414876844857E-4</v>
      </c>
      <c r="W115" s="3"/>
      <c r="X115" s="7">
        <f t="shared" si="26"/>
        <v>10906.39</v>
      </c>
      <c r="Y115" s="3"/>
      <c r="Z115" s="8">
        <f t="shared" si="27"/>
        <v>3.1161114285714282</v>
      </c>
    </row>
    <row r="116" spans="1:26" s="70" customFormat="1" ht="15" hidden="1" customHeight="1" outlineLevel="2" x14ac:dyDescent="0.3">
      <c r="A116" s="26"/>
      <c r="B116" s="12" t="str">
        <f>CONCATENATE("          ","6259"," - ","ROYALTY &amp; COMMISSIONS")</f>
        <v xml:space="preserve">          6259 - ROYALTY &amp; COMMISSIONS</v>
      </c>
      <c r="C116" s="12"/>
      <c r="D116" s="7">
        <v>2045.03</v>
      </c>
      <c r="E116" s="3"/>
      <c r="F116" s="8">
        <f t="shared" ref="F116:F142" si="28">IF(D$12=0,0,D116/D$12)</f>
        <v>2.3413771989316749E-3</v>
      </c>
      <c r="G116" s="3"/>
      <c r="H116" s="7">
        <v>700</v>
      </c>
      <c r="I116" s="3"/>
      <c r="J116" s="8">
        <f t="shared" ref="J116:J142" si="29">IF(H$12=0,0,H116/H$12)</f>
        <v>1.9822054584274881E-3</v>
      </c>
      <c r="K116" s="3"/>
      <c r="L116" s="7">
        <f t="shared" ref="L116:L142" si="30">+D116-H116</f>
        <v>1345.03</v>
      </c>
      <c r="M116" s="3"/>
      <c r="N116" s="8">
        <f t="shared" ref="N116:N142" si="31">IF(H116=0,0,L116/H116)</f>
        <v>1.9214714285714285</v>
      </c>
      <c r="O116" s="12"/>
      <c r="P116" s="7">
        <v>12050.65</v>
      </c>
      <c r="Q116" s="3"/>
      <c r="R116" s="8">
        <f t="shared" ref="R116:R142" si="32">IF(P$12=0,0,P116/P$12)</f>
        <v>1.8089550049581007E-3</v>
      </c>
      <c r="S116" s="3"/>
      <c r="T116" s="7">
        <v>34000</v>
      </c>
      <c r="U116" s="3"/>
      <c r="V116" s="8">
        <f t="shared" ref="V116:V142" si="33">IF(T$12=0,0,T116/T$12)</f>
        <v>4.1415317308934997E-3</v>
      </c>
      <c r="W116" s="3"/>
      <c r="X116" s="7">
        <f t="shared" ref="X116:X142" si="34">+P116-T116</f>
        <v>-21949.35</v>
      </c>
      <c r="Y116" s="3"/>
      <c r="Z116" s="8">
        <f t="shared" ref="Z116:Z142" si="35">IF(T116=0,0,X116/T116)</f>
        <v>-0.64556911764705882</v>
      </c>
    </row>
    <row r="117" spans="1:26" s="69" customFormat="1" ht="15" customHeight="1" outlineLevel="1" collapsed="1" x14ac:dyDescent="0.3">
      <c r="A117" s="25"/>
      <c r="B117" s="14" t="str">
        <f>CONCATENATE("     ","Services                                          ")</f>
        <v xml:space="preserve">     Services                                          </v>
      </c>
      <c r="C117" s="14"/>
      <c r="D117" s="2">
        <f>SUM(OSRRefD22_18x_0)</f>
        <v>4617.1299999999992</v>
      </c>
      <c r="E117" s="2"/>
      <c r="F117" s="6">
        <f t="shared" si="28"/>
        <v>5.2862026016749887E-3</v>
      </c>
      <c r="G117" s="2"/>
      <c r="H117" s="2">
        <f>SUM(OSRRefH22_18x_0)</f>
        <v>4360</v>
      </c>
      <c r="I117" s="2"/>
      <c r="J117" s="6">
        <f t="shared" si="29"/>
        <v>1.2346308283919784E-2</v>
      </c>
      <c r="K117" s="2"/>
      <c r="L117" s="2">
        <f t="shared" si="30"/>
        <v>257.1299999999992</v>
      </c>
      <c r="M117" s="2"/>
      <c r="N117" s="6">
        <f t="shared" si="31"/>
        <v>5.8974770642201649E-2</v>
      </c>
      <c r="O117" s="14"/>
      <c r="P117" s="2">
        <f>SUM(OSRRefP22_18x_0)</f>
        <v>56510.759999999995</v>
      </c>
      <c r="Q117" s="2"/>
      <c r="R117" s="6">
        <f t="shared" si="32"/>
        <v>8.4829799335293977E-3</v>
      </c>
      <c r="S117" s="2"/>
      <c r="T117" s="2">
        <f>SUM(OSRRefT22_18x_0)</f>
        <v>43780</v>
      </c>
      <c r="U117" s="2"/>
      <c r="V117" s="6">
        <f t="shared" si="33"/>
        <v>5.3328311523093367E-3</v>
      </c>
      <c r="W117" s="2"/>
      <c r="X117" s="2">
        <f t="shared" si="34"/>
        <v>12730.759999999995</v>
      </c>
      <c r="Y117" s="2"/>
      <c r="Z117" s="6">
        <f t="shared" si="35"/>
        <v>0.29078940155322053</v>
      </c>
    </row>
    <row r="118" spans="1:26" s="70" customFormat="1" ht="15" hidden="1" customHeight="1" outlineLevel="2" x14ac:dyDescent="0.3">
      <c r="A118" s="26"/>
      <c r="B118" s="12" t="str">
        <f>CONCATENATE("          ","6282"," - ","JANITORIAL/EXTERMINATOR EXPENS")</f>
        <v xml:space="preserve">          6282 - JANITORIAL/EXTERMINATOR EXPENS</v>
      </c>
      <c r="C118" s="12"/>
      <c r="D118" s="7">
        <v>209.65</v>
      </c>
      <c r="E118" s="3"/>
      <c r="F118" s="8">
        <f t="shared" si="28"/>
        <v>2.4003057644925778E-4</v>
      </c>
      <c r="G118" s="3"/>
      <c r="H118" s="7">
        <v>4300</v>
      </c>
      <c r="I118" s="3"/>
      <c r="J118" s="8">
        <f t="shared" si="29"/>
        <v>1.2176404958911712E-2</v>
      </c>
      <c r="K118" s="3"/>
      <c r="L118" s="7">
        <f t="shared" si="30"/>
        <v>-4090.35</v>
      </c>
      <c r="M118" s="3"/>
      <c r="N118" s="8">
        <f t="shared" si="31"/>
        <v>-0.95124418604651162</v>
      </c>
      <c r="O118" s="12"/>
      <c r="P118" s="7">
        <v>2963.28</v>
      </c>
      <c r="Q118" s="3"/>
      <c r="R118" s="8">
        <f t="shared" si="32"/>
        <v>4.4482581330403267E-4</v>
      </c>
      <c r="S118" s="3"/>
      <c r="T118" s="7">
        <v>43000</v>
      </c>
      <c r="U118" s="3"/>
      <c r="V118" s="8">
        <f t="shared" si="33"/>
        <v>5.2378195420123676E-3</v>
      </c>
      <c r="W118" s="3"/>
      <c r="X118" s="7">
        <f t="shared" si="34"/>
        <v>-40036.720000000001</v>
      </c>
      <c r="Y118" s="3"/>
      <c r="Z118" s="8">
        <f t="shared" si="35"/>
        <v>-0.93108651162790701</v>
      </c>
    </row>
    <row r="119" spans="1:26" s="70" customFormat="1" ht="15" hidden="1" customHeight="1" outlineLevel="2" x14ac:dyDescent="0.3">
      <c r="A119" s="26"/>
      <c r="B119" s="12" t="str">
        <f>CONCATENATE("          ","6284"," - ","TRASH REMOVAL EXPENSE")</f>
        <v xml:space="preserve">          6284 - TRASH REMOVAL EXPENSE</v>
      </c>
      <c r="C119" s="12"/>
      <c r="D119" s="7"/>
      <c r="E119" s="3"/>
      <c r="F119" s="8">
        <f t="shared" si="28"/>
        <v>0</v>
      </c>
      <c r="G119" s="3"/>
      <c r="H119" s="7">
        <v>60</v>
      </c>
      <c r="I119" s="3"/>
      <c r="J119" s="8">
        <f t="shared" si="29"/>
        <v>1.699033250080704E-4</v>
      </c>
      <c r="K119" s="3"/>
      <c r="L119" s="7">
        <f t="shared" si="30"/>
        <v>-60</v>
      </c>
      <c r="M119" s="3"/>
      <c r="N119" s="8">
        <f t="shared" si="31"/>
        <v>-1</v>
      </c>
      <c r="O119" s="12"/>
      <c r="P119" s="7">
        <v>1340.17</v>
      </c>
      <c r="Q119" s="3"/>
      <c r="R119" s="8">
        <f t="shared" si="32"/>
        <v>2.0117647006549007E-4</v>
      </c>
      <c r="S119" s="3"/>
      <c r="T119" s="7">
        <v>780</v>
      </c>
      <c r="U119" s="3"/>
      <c r="V119" s="8">
        <f t="shared" si="33"/>
        <v>9.5011610296968536E-5</v>
      </c>
      <c r="W119" s="3"/>
      <c r="X119" s="7">
        <f t="shared" si="34"/>
        <v>560.17000000000007</v>
      </c>
      <c r="Y119" s="3"/>
      <c r="Z119" s="8">
        <f t="shared" si="35"/>
        <v>0.71816666666666673</v>
      </c>
    </row>
    <row r="120" spans="1:26" s="70" customFormat="1" ht="15" hidden="1" customHeight="1" outlineLevel="2" x14ac:dyDescent="0.3">
      <c r="A120" s="26"/>
      <c r="B120" s="12" t="str">
        <f>CONCATENATE("          ","6285"," - ","JANITORIAL SERVICES")</f>
        <v xml:space="preserve">          6285 - JANITORIAL SERVICES</v>
      </c>
      <c r="C120" s="12"/>
      <c r="D120" s="7">
        <v>4407.4799999999996</v>
      </c>
      <c r="E120" s="3"/>
      <c r="F120" s="8">
        <f t="shared" si="28"/>
        <v>5.046172025225731E-3</v>
      </c>
      <c r="G120" s="3"/>
      <c r="H120" s="7"/>
      <c r="I120" s="3"/>
      <c r="J120" s="8">
        <f t="shared" si="29"/>
        <v>0</v>
      </c>
      <c r="K120" s="3"/>
      <c r="L120" s="7">
        <f t="shared" si="30"/>
        <v>4407.4799999999996</v>
      </c>
      <c r="M120" s="3"/>
      <c r="N120" s="8">
        <f t="shared" si="31"/>
        <v>0</v>
      </c>
      <c r="O120" s="12"/>
      <c r="P120" s="7">
        <v>52207.31</v>
      </c>
      <c r="Q120" s="3"/>
      <c r="R120" s="8">
        <f t="shared" si="32"/>
        <v>7.8369776501598758E-3</v>
      </c>
      <c r="S120" s="3"/>
      <c r="T120" s="7"/>
      <c r="U120" s="3"/>
      <c r="V120" s="8">
        <f t="shared" si="33"/>
        <v>0</v>
      </c>
      <c r="W120" s="3"/>
      <c r="X120" s="7">
        <f t="shared" si="34"/>
        <v>52207.31</v>
      </c>
      <c r="Y120" s="3"/>
      <c r="Z120" s="8">
        <f t="shared" si="35"/>
        <v>0</v>
      </c>
    </row>
    <row r="121" spans="1:26" s="69" customFormat="1" ht="15" customHeight="1" outlineLevel="1" collapsed="1" x14ac:dyDescent="0.3">
      <c r="A121" s="25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2">
        <f>SUM(OSRRefD22_19x_0)</f>
        <v>2418.29</v>
      </c>
      <c r="E121" s="2"/>
      <c r="F121" s="6">
        <f t="shared" si="28"/>
        <v>2.7687266526185334E-3</v>
      </c>
      <c r="G121" s="2"/>
      <c r="H121" s="2">
        <f>SUM(OSRRefH22_19x_0)</f>
        <v>1461</v>
      </c>
      <c r="I121" s="2"/>
      <c r="J121" s="6">
        <f t="shared" si="29"/>
        <v>4.1371459639465147E-3</v>
      </c>
      <c r="K121" s="2"/>
      <c r="L121" s="2">
        <f t="shared" si="30"/>
        <v>957.29</v>
      </c>
      <c r="M121" s="2"/>
      <c r="N121" s="6">
        <f t="shared" si="31"/>
        <v>0.65522929500342231</v>
      </c>
      <c r="O121" s="14"/>
      <c r="P121" s="2">
        <f>SUM(OSRRefP22_19x_0)</f>
        <v>4895.9400000000005</v>
      </c>
      <c r="Q121" s="2"/>
      <c r="R121" s="6">
        <f t="shared" si="32"/>
        <v>7.3494252733043988E-4</v>
      </c>
      <c r="S121" s="2"/>
      <c r="T121" s="2">
        <f>SUM(OSRRefT22_19x_0)</f>
        <v>12405</v>
      </c>
      <c r="U121" s="2"/>
      <c r="V121" s="6">
        <f t="shared" si="33"/>
        <v>1.5110500329921727E-3</v>
      </c>
      <c r="W121" s="2"/>
      <c r="X121" s="2">
        <f t="shared" si="34"/>
        <v>-7509.0599999999995</v>
      </c>
      <c r="Y121" s="2"/>
      <c r="Z121" s="6">
        <f t="shared" si="35"/>
        <v>-0.60532527206771458</v>
      </c>
    </row>
    <row r="122" spans="1:26" s="70" customFormat="1" ht="15" hidden="1" customHeight="1" outlineLevel="2" x14ac:dyDescent="0.3">
      <c r="A122" s="26"/>
      <c r="B122" s="12" t="str">
        <f>CONCATENATE("          ","6258"," - ","MEMBERSHIP DUES")</f>
        <v xml:space="preserve">          6258 - MEMBERSHIP DUES</v>
      </c>
      <c r="C122" s="12"/>
      <c r="D122" s="7">
        <v>510.65</v>
      </c>
      <c r="E122" s="3"/>
      <c r="F122" s="8">
        <f t="shared" si="28"/>
        <v>5.8464876634301683E-4</v>
      </c>
      <c r="G122" s="3"/>
      <c r="H122" s="7">
        <v>1300</v>
      </c>
      <c r="I122" s="3"/>
      <c r="J122" s="8">
        <f t="shared" si="29"/>
        <v>3.6812387085081921E-3</v>
      </c>
      <c r="K122" s="3"/>
      <c r="L122" s="7">
        <f t="shared" si="30"/>
        <v>-789.35</v>
      </c>
      <c r="M122" s="3"/>
      <c r="N122" s="8">
        <f t="shared" si="31"/>
        <v>-0.6071923076923077</v>
      </c>
      <c r="O122" s="12"/>
      <c r="P122" s="7">
        <v>2988.3</v>
      </c>
      <c r="Q122" s="3"/>
      <c r="R122" s="8">
        <f t="shared" si="32"/>
        <v>4.4858163180544561E-4</v>
      </c>
      <c r="S122" s="3"/>
      <c r="T122" s="7">
        <v>9395</v>
      </c>
      <c r="U122" s="3"/>
      <c r="V122" s="8">
        <f t="shared" si="33"/>
        <v>1.1444026650513069E-3</v>
      </c>
      <c r="W122" s="3"/>
      <c r="X122" s="7">
        <f t="shared" si="34"/>
        <v>-6406.7</v>
      </c>
      <c r="Y122" s="3"/>
      <c r="Z122" s="8">
        <f t="shared" si="35"/>
        <v>-0.68192655667908464</v>
      </c>
    </row>
    <row r="123" spans="1:26" s="70" customFormat="1" ht="15" hidden="1" customHeight="1" outlineLevel="2" x14ac:dyDescent="0.3">
      <c r="A123" s="26"/>
      <c r="B123" s="12" t="str">
        <f>CONCATENATE("          ","6275"," - ","SUBSCRIPTIONS")</f>
        <v xml:space="preserve">          6275 - SUBSCRIPTIONS</v>
      </c>
      <c r="C123" s="12"/>
      <c r="D123" s="7">
        <v>1907.64</v>
      </c>
      <c r="E123" s="3"/>
      <c r="F123" s="8">
        <f t="shared" si="28"/>
        <v>2.1840778862755169E-3</v>
      </c>
      <c r="G123" s="3"/>
      <c r="H123" s="7">
        <v>161</v>
      </c>
      <c r="I123" s="3"/>
      <c r="J123" s="8">
        <f t="shared" si="29"/>
        <v>4.5590725543832227E-4</v>
      </c>
      <c r="K123" s="3"/>
      <c r="L123" s="7">
        <f t="shared" si="30"/>
        <v>1746.64</v>
      </c>
      <c r="M123" s="3"/>
      <c r="N123" s="8">
        <f t="shared" si="31"/>
        <v>10.848695652173914</v>
      </c>
      <c r="O123" s="12"/>
      <c r="P123" s="7">
        <v>1907.64</v>
      </c>
      <c r="Q123" s="3"/>
      <c r="R123" s="8">
        <f t="shared" si="32"/>
        <v>2.8636089552499421E-4</v>
      </c>
      <c r="S123" s="3"/>
      <c r="T123" s="7">
        <v>3010</v>
      </c>
      <c r="U123" s="3"/>
      <c r="V123" s="8">
        <f t="shared" si="33"/>
        <v>3.6664736794086577E-4</v>
      </c>
      <c r="W123" s="3"/>
      <c r="X123" s="7">
        <f t="shared" si="34"/>
        <v>-1102.3599999999999</v>
      </c>
      <c r="Y123" s="3"/>
      <c r="Z123" s="8">
        <f t="shared" si="35"/>
        <v>-0.36623255813953487</v>
      </c>
    </row>
    <row r="124" spans="1:26" s="69" customFormat="1" ht="15" customHeight="1" outlineLevel="1" collapsed="1" x14ac:dyDescent="0.3">
      <c r="A124" s="25"/>
      <c r="B124" s="14" t="str">
        <f>CONCATENATE("     ","Supplies                                          ")</f>
        <v xml:space="preserve">     Supplies                                          </v>
      </c>
      <c r="C124" s="14"/>
      <c r="D124" s="2">
        <f>SUM(OSRRefD22_20x_0)</f>
        <v>11285.779999999999</v>
      </c>
      <c r="E124" s="2"/>
      <c r="F124" s="6">
        <f t="shared" si="28"/>
        <v>1.292121287421657E-2</v>
      </c>
      <c r="G124" s="2"/>
      <c r="H124" s="2">
        <f>SUM(OSRRefH22_20x_0)</f>
        <v>10980</v>
      </c>
      <c r="I124" s="2"/>
      <c r="J124" s="6">
        <f t="shared" si="29"/>
        <v>3.1092308476476885E-2</v>
      </c>
      <c r="K124" s="2"/>
      <c r="L124" s="2">
        <f t="shared" si="30"/>
        <v>305.77999999999884</v>
      </c>
      <c r="M124" s="2"/>
      <c r="N124" s="6">
        <f t="shared" si="31"/>
        <v>2.7848816029143793E-2</v>
      </c>
      <c r="O124" s="14"/>
      <c r="P124" s="2">
        <f>SUM(OSRRefP22_20x_0)</f>
        <v>97813.51999999999</v>
      </c>
      <c r="Q124" s="2"/>
      <c r="R124" s="6">
        <f t="shared" si="32"/>
        <v>1.4683046686823471E-2</v>
      </c>
      <c r="S124" s="2"/>
      <c r="T124" s="2">
        <f>SUM(OSRRefT22_20x_0)</f>
        <v>110430</v>
      </c>
      <c r="U124" s="2"/>
      <c r="V124" s="6">
        <f t="shared" si="33"/>
        <v>1.3451451442428507E-2</v>
      </c>
      <c r="W124" s="2"/>
      <c r="X124" s="2">
        <f t="shared" si="34"/>
        <v>-12616.48000000001</v>
      </c>
      <c r="Y124" s="2"/>
      <c r="Z124" s="6">
        <f t="shared" si="35"/>
        <v>-0.11424866431223409</v>
      </c>
    </row>
    <row r="125" spans="1:26" s="70" customFormat="1" ht="15" hidden="1" customHeight="1" outlineLevel="2" x14ac:dyDescent="0.3">
      <c r="A125" s="26"/>
      <c r="B125" s="12" t="str">
        <f>CONCATENATE("          ","6234"," - ","EXPENDABLE SUPPLIES &amp; EQUIPMEN")</f>
        <v xml:space="preserve">          6234 - EXPENDABLE SUPPLIES &amp; EQUIPMEN</v>
      </c>
      <c r="C125" s="12"/>
      <c r="D125" s="7">
        <v>4993.3100000000004</v>
      </c>
      <c r="E125" s="3"/>
      <c r="F125" s="8">
        <f t="shared" si="28"/>
        <v>5.7168951952770971E-3</v>
      </c>
      <c r="G125" s="3"/>
      <c r="H125" s="7">
        <v>300</v>
      </c>
      <c r="I125" s="3"/>
      <c r="J125" s="8">
        <f t="shared" si="29"/>
        <v>8.4951662504035208E-4</v>
      </c>
      <c r="K125" s="3"/>
      <c r="L125" s="7">
        <f t="shared" si="30"/>
        <v>4693.3100000000004</v>
      </c>
      <c r="M125" s="3"/>
      <c r="N125" s="8">
        <f t="shared" si="31"/>
        <v>15.644366666666668</v>
      </c>
      <c r="O125" s="12"/>
      <c r="P125" s="7">
        <v>10282.879999999999</v>
      </c>
      <c r="Q125" s="3"/>
      <c r="R125" s="8">
        <f t="shared" si="32"/>
        <v>1.5435903657797343E-3</v>
      </c>
      <c r="S125" s="3"/>
      <c r="T125" s="7">
        <v>2400</v>
      </c>
      <c r="U125" s="3"/>
      <c r="V125" s="8">
        <f t="shared" si="33"/>
        <v>2.9234341629836473E-4</v>
      </c>
      <c r="W125" s="3"/>
      <c r="X125" s="7">
        <f t="shared" si="34"/>
        <v>7882.8799999999992</v>
      </c>
      <c r="Y125" s="3"/>
      <c r="Z125" s="8">
        <f t="shared" si="35"/>
        <v>3.2845333333333331</v>
      </c>
    </row>
    <row r="126" spans="1:26" s="70" customFormat="1" ht="15" hidden="1" customHeight="1" outlineLevel="2" x14ac:dyDescent="0.3">
      <c r="A126" s="26"/>
      <c r="B126" s="12" t="str">
        <f>CONCATENATE("          ","6235"," - ","COVID-19 EXPENSES")</f>
        <v xml:space="preserve">          6235 - COVID-19 EXPENSES</v>
      </c>
      <c r="C126" s="12"/>
      <c r="D126" s="7"/>
      <c r="E126" s="3"/>
      <c r="F126" s="8">
        <f t="shared" si="28"/>
        <v>0</v>
      </c>
      <c r="G126" s="3"/>
      <c r="H126" s="7">
        <v>125</v>
      </c>
      <c r="I126" s="3"/>
      <c r="J126" s="8">
        <f t="shared" si="29"/>
        <v>3.5396526043348004E-4</v>
      </c>
      <c r="K126" s="3"/>
      <c r="L126" s="7">
        <f t="shared" si="30"/>
        <v>-125</v>
      </c>
      <c r="M126" s="3"/>
      <c r="N126" s="8">
        <f t="shared" si="31"/>
        <v>-1</v>
      </c>
      <c r="O126" s="12"/>
      <c r="P126" s="7">
        <v>3430.32</v>
      </c>
      <c r="Q126" s="3"/>
      <c r="R126" s="8">
        <f t="shared" si="32"/>
        <v>5.1493442533040727E-4</v>
      </c>
      <c r="S126" s="3"/>
      <c r="T126" s="7">
        <v>1250</v>
      </c>
      <c r="U126" s="3"/>
      <c r="V126" s="8">
        <f t="shared" si="33"/>
        <v>1.5226219598873163E-4</v>
      </c>
      <c r="W126" s="3"/>
      <c r="X126" s="7">
        <f t="shared" si="34"/>
        <v>2180.3200000000002</v>
      </c>
      <c r="Y126" s="3"/>
      <c r="Z126" s="8">
        <f t="shared" si="35"/>
        <v>1.744256</v>
      </c>
    </row>
    <row r="127" spans="1:26" s="70" customFormat="1" ht="15" hidden="1" customHeight="1" outlineLevel="2" x14ac:dyDescent="0.3">
      <c r="A127" s="26"/>
      <c r="B127" s="12" t="str">
        <f>CONCATENATE("          ","6237"," - ","JANITORIAL SUPPLIES")</f>
        <v xml:space="preserve">          6237 - JANITORIAL SUPPLIES</v>
      </c>
      <c r="C127" s="12"/>
      <c r="D127" s="7">
        <v>1406.74</v>
      </c>
      <c r="E127" s="3"/>
      <c r="F127" s="8">
        <f t="shared" si="28"/>
        <v>1.6105920014988259E-3</v>
      </c>
      <c r="G127" s="3"/>
      <c r="H127" s="7">
        <v>10</v>
      </c>
      <c r="I127" s="3"/>
      <c r="J127" s="8">
        <f t="shared" si="29"/>
        <v>2.8317220834678401E-5</v>
      </c>
      <c r="K127" s="3"/>
      <c r="L127" s="7">
        <f t="shared" si="30"/>
        <v>1396.74</v>
      </c>
      <c r="M127" s="3"/>
      <c r="N127" s="8">
        <f t="shared" si="31"/>
        <v>139.67400000000001</v>
      </c>
      <c r="O127" s="12"/>
      <c r="P127" s="7">
        <v>6195.9</v>
      </c>
      <c r="Q127" s="3"/>
      <c r="R127" s="8">
        <f t="shared" si="32"/>
        <v>9.3008296774198035E-4</v>
      </c>
      <c r="S127" s="3"/>
      <c r="T127" s="7">
        <v>180</v>
      </c>
      <c r="U127" s="3"/>
      <c r="V127" s="8">
        <f t="shared" si="33"/>
        <v>2.1925756222377352E-5</v>
      </c>
      <c r="W127" s="3"/>
      <c r="X127" s="7">
        <f t="shared" si="34"/>
        <v>6015.9</v>
      </c>
      <c r="Y127" s="3"/>
      <c r="Z127" s="8">
        <f t="shared" si="35"/>
        <v>33.421666666666667</v>
      </c>
    </row>
    <row r="128" spans="1:26" s="70" customFormat="1" ht="15" hidden="1" customHeight="1" outlineLevel="2" x14ac:dyDescent="0.3">
      <c r="A128" s="26"/>
      <c r="B128" s="12" t="str">
        <f>CONCATENATE("          ","6241"," - ","OFFICE EXPENSE")</f>
        <v xml:space="preserve">          6241 - OFFICE EXPENSE</v>
      </c>
      <c r="C128" s="12"/>
      <c r="D128" s="7">
        <v>2289.85</v>
      </c>
      <c r="E128" s="3"/>
      <c r="F128" s="8">
        <f t="shared" si="28"/>
        <v>2.6216742927847978E-3</v>
      </c>
      <c r="G128" s="3"/>
      <c r="H128" s="7">
        <v>470</v>
      </c>
      <c r="I128" s="3"/>
      <c r="J128" s="8">
        <f t="shared" si="29"/>
        <v>1.3309093792298848E-3</v>
      </c>
      <c r="K128" s="3"/>
      <c r="L128" s="7">
        <f t="shared" si="30"/>
        <v>1819.85</v>
      </c>
      <c r="M128" s="3"/>
      <c r="N128" s="8">
        <f t="shared" si="31"/>
        <v>3.8720212765957447</v>
      </c>
      <c r="O128" s="12"/>
      <c r="P128" s="7">
        <v>17007.89</v>
      </c>
      <c r="Q128" s="3"/>
      <c r="R128" s="8">
        <f t="shared" si="32"/>
        <v>2.5530994377296521E-3</v>
      </c>
      <c r="S128" s="3"/>
      <c r="T128" s="7">
        <v>5950</v>
      </c>
      <c r="U128" s="3"/>
      <c r="V128" s="8">
        <f t="shared" si="33"/>
        <v>7.2476805290636254E-4</v>
      </c>
      <c r="W128" s="3"/>
      <c r="X128" s="7">
        <f t="shared" si="34"/>
        <v>11057.89</v>
      </c>
      <c r="Y128" s="3"/>
      <c r="Z128" s="8">
        <f t="shared" si="35"/>
        <v>1.8584689075630252</v>
      </c>
    </row>
    <row r="129" spans="1:26" s="70" customFormat="1" ht="15" hidden="1" customHeight="1" outlineLevel="2" x14ac:dyDescent="0.3">
      <c r="A129" s="26"/>
      <c r="B129" s="12" t="str">
        <f>CONCATENATE("          ","6243"," - ","PAPER SUPPLIES")</f>
        <v xml:space="preserve">          6243 - PAPER SUPPLIES</v>
      </c>
      <c r="C129" s="12"/>
      <c r="D129" s="7">
        <v>410.22</v>
      </c>
      <c r="E129" s="3"/>
      <c r="F129" s="8">
        <f t="shared" si="28"/>
        <v>4.6966536165520879E-4</v>
      </c>
      <c r="G129" s="3"/>
      <c r="H129" s="7">
        <v>4200</v>
      </c>
      <c r="I129" s="3"/>
      <c r="J129" s="8">
        <f t="shared" si="29"/>
        <v>1.1893232750564928E-2</v>
      </c>
      <c r="K129" s="3"/>
      <c r="L129" s="7">
        <f t="shared" si="30"/>
        <v>-3789.7799999999997</v>
      </c>
      <c r="M129" s="3"/>
      <c r="N129" s="8">
        <f t="shared" si="31"/>
        <v>-0.90232857142857137</v>
      </c>
      <c r="O129" s="12"/>
      <c r="P129" s="7">
        <v>7245.36</v>
      </c>
      <c r="Q129" s="3"/>
      <c r="R129" s="8">
        <f t="shared" si="32"/>
        <v>1.0876201893444109E-3</v>
      </c>
      <c r="S129" s="3"/>
      <c r="T129" s="7">
        <v>34550</v>
      </c>
      <c r="U129" s="3"/>
      <c r="V129" s="8">
        <f t="shared" si="33"/>
        <v>4.2085270971285423E-3</v>
      </c>
      <c r="W129" s="3"/>
      <c r="X129" s="7">
        <f t="shared" si="34"/>
        <v>-27304.639999999999</v>
      </c>
      <c r="Y129" s="3"/>
      <c r="Z129" s="8">
        <f t="shared" si="35"/>
        <v>-0.790293487698987</v>
      </c>
    </row>
    <row r="130" spans="1:26" s="70" customFormat="1" ht="15" hidden="1" customHeight="1" outlineLevel="2" x14ac:dyDescent="0.3">
      <c r="A130" s="26"/>
      <c r="B130" s="12" t="str">
        <f>CONCATENATE("          ","6245"," - ","PRINTING")</f>
        <v xml:space="preserve">          6245 - PRINTING</v>
      </c>
      <c r="C130" s="12"/>
      <c r="D130" s="7">
        <v>-45.84</v>
      </c>
      <c r="E130" s="3"/>
      <c r="F130" s="8">
        <f t="shared" si="28"/>
        <v>-5.2482717025680783E-5</v>
      </c>
      <c r="G130" s="3"/>
      <c r="H130" s="7">
        <v>50</v>
      </c>
      <c r="I130" s="3"/>
      <c r="J130" s="8">
        <f t="shared" si="29"/>
        <v>1.41586104173392E-4</v>
      </c>
      <c r="K130" s="3"/>
      <c r="L130" s="7">
        <f t="shared" si="30"/>
        <v>-95.84</v>
      </c>
      <c r="M130" s="3"/>
      <c r="N130" s="8">
        <f t="shared" si="31"/>
        <v>-1.9168000000000001</v>
      </c>
      <c r="O130" s="12"/>
      <c r="P130" s="7">
        <v>6940.68</v>
      </c>
      <c r="Q130" s="3"/>
      <c r="R130" s="8">
        <f t="shared" si="32"/>
        <v>1.0418838671617376E-3</v>
      </c>
      <c r="S130" s="3"/>
      <c r="T130" s="7">
        <v>8045</v>
      </c>
      <c r="U130" s="3"/>
      <c r="V130" s="8">
        <f t="shared" si="33"/>
        <v>9.7995949338347673E-4</v>
      </c>
      <c r="W130" s="3"/>
      <c r="X130" s="7">
        <f t="shared" si="34"/>
        <v>-1104.3199999999997</v>
      </c>
      <c r="Y130" s="3"/>
      <c r="Z130" s="8">
        <f t="shared" si="35"/>
        <v>-0.13726786824114354</v>
      </c>
    </row>
    <row r="131" spans="1:26" s="70" customFormat="1" ht="15" hidden="1" customHeight="1" outlineLevel="2" x14ac:dyDescent="0.3">
      <c r="A131" s="26"/>
      <c r="B131" s="12" t="str">
        <f>CONCATENATE("          ","6247"," - ","STORE SUPPLIES")</f>
        <v xml:space="preserve">          6247 - STORE SUPPLIES</v>
      </c>
      <c r="C131" s="12"/>
      <c r="D131" s="7">
        <v>2231.5</v>
      </c>
      <c r="E131" s="3"/>
      <c r="F131" s="8">
        <f t="shared" si="28"/>
        <v>2.5548687400263233E-3</v>
      </c>
      <c r="G131" s="3"/>
      <c r="H131" s="7">
        <v>5825</v>
      </c>
      <c r="I131" s="3"/>
      <c r="J131" s="8">
        <f t="shared" si="29"/>
        <v>1.6494781136200169E-2</v>
      </c>
      <c r="K131" s="3"/>
      <c r="L131" s="7">
        <f t="shared" si="30"/>
        <v>-3593.5</v>
      </c>
      <c r="M131" s="3"/>
      <c r="N131" s="8">
        <f t="shared" si="31"/>
        <v>-0.61690987124463514</v>
      </c>
      <c r="O131" s="12"/>
      <c r="P131" s="7">
        <v>46710.49</v>
      </c>
      <c r="Q131" s="3"/>
      <c r="R131" s="8">
        <f t="shared" si="32"/>
        <v>7.0118354337355511E-3</v>
      </c>
      <c r="S131" s="3"/>
      <c r="T131" s="7">
        <v>58055</v>
      </c>
      <c r="U131" s="3"/>
      <c r="V131" s="8">
        <f t="shared" si="33"/>
        <v>7.0716654305006512E-3</v>
      </c>
      <c r="W131" s="3"/>
      <c r="X131" s="7">
        <f t="shared" si="34"/>
        <v>-11344.510000000002</v>
      </c>
      <c r="Y131" s="3"/>
      <c r="Z131" s="8">
        <f t="shared" si="35"/>
        <v>-0.19540969770045649</v>
      </c>
    </row>
    <row r="132" spans="1:26" s="69" customFormat="1" ht="15" customHeight="1" outlineLevel="1" collapsed="1" x14ac:dyDescent="0.3">
      <c r="A132" s="25"/>
      <c r="B132" s="14" t="str">
        <f>CONCATENATE("     ","Telephone/Data Lines                              ")</f>
        <v xml:space="preserve">     Telephone/Data Lines                              </v>
      </c>
      <c r="C132" s="14"/>
      <c r="D132" s="2">
        <f>SUM(OSRRefD22_21x_0)</f>
        <v>2203.44</v>
      </c>
      <c r="E132" s="2"/>
      <c r="F132" s="6">
        <f t="shared" si="28"/>
        <v>2.5227425393339019E-3</v>
      </c>
      <c r="G132" s="2"/>
      <c r="H132" s="2">
        <f>SUM(OSRRefH22_21x_0)</f>
        <v>1735</v>
      </c>
      <c r="I132" s="2"/>
      <c r="J132" s="6">
        <f t="shared" si="29"/>
        <v>4.9130378148167023E-3</v>
      </c>
      <c r="K132" s="2"/>
      <c r="L132" s="2">
        <f t="shared" si="30"/>
        <v>468.44000000000005</v>
      </c>
      <c r="M132" s="2"/>
      <c r="N132" s="6">
        <f t="shared" si="31"/>
        <v>0.2699942363112392</v>
      </c>
      <c r="O132" s="14"/>
      <c r="P132" s="2">
        <f>SUM(OSRRefP22_21x_0)</f>
        <v>18497.86</v>
      </c>
      <c r="Q132" s="2"/>
      <c r="R132" s="6">
        <f t="shared" si="32"/>
        <v>2.7767627827556401E-3</v>
      </c>
      <c r="S132" s="2"/>
      <c r="T132" s="2">
        <f>SUM(OSRRefT22_21x_0)</f>
        <v>17950</v>
      </c>
      <c r="U132" s="2"/>
      <c r="V132" s="6">
        <f t="shared" si="33"/>
        <v>2.1864851343981863E-3</v>
      </c>
      <c r="W132" s="2"/>
      <c r="X132" s="2">
        <f t="shared" si="34"/>
        <v>547.86000000000058</v>
      </c>
      <c r="Y132" s="2"/>
      <c r="Z132" s="6">
        <f t="shared" si="35"/>
        <v>3.0521448467966606E-2</v>
      </c>
    </row>
    <row r="133" spans="1:26" s="70" customFormat="1" ht="15" hidden="1" customHeight="1" outlineLevel="2" x14ac:dyDescent="0.3">
      <c r="A133" s="26"/>
      <c r="B133" s="12" t="str">
        <f>CONCATENATE("          ","6303"," - ","DATA PHONE LINES")</f>
        <v xml:space="preserve">          6303 - DATA PHONE LINES</v>
      </c>
      <c r="C133" s="12"/>
      <c r="D133" s="7"/>
      <c r="E133" s="3"/>
      <c r="F133" s="8">
        <f t="shared" si="28"/>
        <v>0</v>
      </c>
      <c r="G133" s="3"/>
      <c r="H133" s="7">
        <v>0</v>
      </c>
      <c r="I133" s="3"/>
      <c r="J133" s="8">
        <f t="shared" si="29"/>
        <v>0</v>
      </c>
      <c r="K133" s="3"/>
      <c r="L133" s="7">
        <f t="shared" si="30"/>
        <v>0</v>
      </c>
      <c r="M133" s="3"/>
      <c r="N133" s="8">
        <f t="shared" si="31"/>
        <v>0</v>
      </c>
      <c r="O133" s="12"/>
      <c r="P133" s="7">
        <v>295</v>
      </c>
      <c r="Q133" s="3"/>
      <c r="R133" s="8">
        <f t="shared" si="32"/>
        <v>4.4283231731287502E-5</v>
      </c>
      <c r="S133" s="3"/>
      <c r="T133" s="7">
        <v>0</v>
      </c>
      <c r="U133" s="3"/>
      <c r="V133" s="8">
        <f t="shared" si="33"/>
        <v>0</v>
      </c>
      <c r="W133" s="3"/>
      <c r="X133" s="7">
        <f t="shared" si="34"/>
        <v>295</v>
      </c>
      <c r="Y133" s="3"/>
      <c r="Z133" s="8">
        <f t="shared" si="35"/>
        <v>0</v>
      </c>
    </row>
    <row r="134" spans="1:26" s="70" customFormat="1" ht="15" hidden="1" customHeight="1" outlineLevel="2" x14ac:dyDescent="0.3">
      <c r="A134" s="26"/>
      <c r="B134" s="12" t="str">
        <f>CONCATENATE("          ","6309"," - ","TELEPHONE")</f>
        <v xml:space="preserve">          6309 - TELEPHONE</v>
      </c>
      <c r="C134" s="12"/>
      <c r="D134" s="7">
        <v>2203.44</v>
      </c>
      <c r="E134" s="3"/>
      <c r="F134" s="8">
        <f t="shared" si="28"/>
        <v>2.5227425393339019E-3</v>
      </c>
      <c r="G134" s="3"/>
      <c r="H134" s="7">
        <v>1735</v>
      </c>
      <c r="I134" s="3"/>
      <c r="J134" s="8">
        <f t="shared" si="29"/>
        <v>4.9130378148167023E-3</v>
      </c>
      <c r="K134" s="3"/>
      <c r="L134" s="7">
        <f t="shared" si="30"/>
        <v>468.44000000000005</v>
      </c>
      <c r="M134" s="3"/>
      <c r="N134" s="8">
        <f t="shared" si="31"/>
        <v>0.2699942363112392</v>
      </c>
      <c r="O134" s="12"/>
      <c r="P134" s="7">
        <v>18202.86</v>
      </c>
      <c r="Q134" s="3"/>
      <c r="R134" s="8">
        <f t="shared" si="32"/>
        <v>2.7324795510243528E-3</v>
      </c>
      <c r="S134" s="3"/>
      <c r="T134" s="7">
        <v>17950</v>
      </c>
      <c r="U134" s="3"/>
      <c r="V134" s="8">
        <f t="shared" si="33"/>
        <v>2.1864851343981863E-3</v>
      </c>
      <c r="W134" s="3"/>
      <c r="X134" s="7">
        <f t="shared" si="34"/>
        <v>252.86000000000058</v>
      </c>
      <c r="Y134" s="3"/>
      <c r="Z134" s="8">
        <f t="shared" si="35"/>
        <v>1.4086908077994462E-2</v>
      </c>
    </row>
    <row r="135" spans="1:26" s="69" customFormat="1" ht="15" customHeight="1" outlineLevel="1" collapsed="1" x14ac:dyDescent="0.3">
      <c r="A135" s="25"/>
      <c r="B135" s="14" t="str">
        <f>CONCATENATE("     ","Training                                          ")</f>
        <v xml:space="preserve">     Training                                          </v>
      </c>
      <c r="C135" s="14"/>
      <c r="D135" s="2">
        <f>SUM(OSRRefD22_22x_0)</f>
        <v>125</v>
      </c>
      <c r="E135" s="2"/>
      <c r="F135" s="6">
        <f t="shared" si="28"/>
        <v>1.4311386623494979E-4</v>
      </c>
      <c r="G135" s="2"/>
      <c r="H135" s="2">
        <f>SUM(OSRRefH22_22x_0)</f>
        <v>0</v>
      </c>
      <c r="I135" s="2"/>
      <c r="J135" s="6">
        <f t="shared" si="29"/>
        <v>0</v>
      </c>
      <c r="K135" s="2"/>
      <c r="L135" s="2">
        <f t="shared" si="30"/>
        <v>125</v>
      </c>
      <c r="M135" s="2"/>
      <c r="N135" s="6">
        <f t="shared" si="31"/>
        <v>0</v>
      </c>
      <c r="O135" s="14"/>
      <c r="P135" s="2">
        <f>SUM(OSRRefP22_22x_0)</f>
        <v>1219</v>
      </c>
      <c r="Q135" s="2"/>
      <c r="R135" s="6">
        <f t="shared" si="32"/>
        <v>1.8298732027267615E-4</v>
      </c>
      <c r="S135" s="2"/>
      <c r="T135" s="2">
        <f>SUM(OSRRefT22_22x_0)</f>
        <v>2000</v>
      </c>
      <c r="U135" s="2"/>
      <c r="V135" s="6">
        <f t="shared" si="33"/>
        <v>2.4361951358197058E-4</v>
      </c>
      <c r="W135" s="2"/>
      <c r="X135" s="2">
        <f t="shared" si="34"/>
        <v>-781</v>
      </c>
      <c r="Y135" s="2"/>
      <c r="Z135" s="6">
        <f t="shared" si="35"/>
        <v>-0.39050000000000001</v>
      </c>
    </row>
    <row r="136" spans="1:26" s="70" customFormat="1" ht="15" hidden="1" customHeight="1" outlineLevel="2" x14ac:dyDescent="0.3">
      <c r="A136" s="26"/>
      <c r="B136" s="12" t="str">
        <f>CONCATENATE("          ","6376"," - ","TRAINING")</f>
        <v xml:space="preserve">          6376 - TRAINING</v>
      </c>
      <c r="C136" s="12"/>
      <c r="D136" s="7">
        <v>125</v>
      </c>
      <c r="E136" s="3"/>
      <c r="F136" s="8">
        <f t="shared" si="28"/>
        <v>1.4311386623494979E-4</v>
      </c>
      <c r="G136" s="3"/>
      <c r="H136" s="7">
        <v>0</v>
      </c>
      <c r="I136" s="3"/>
      <c r="J136" s="8">
        <f t="shared" si="29"/>
        <v>0</v>
      </c>
      <c r="K136" s="3"/>
      <c r="L136" s="7">
        <f t="shared" si="30"/>
        <v>125</v>
      </c>
      <c r="M136" s="3"/>
      <c r="N136" s="8">
        <f t="shared" si="31"/>
        <v>0</v>
      </c>
      <c r="O136" s="12"/>
      <c r="P136" s="7">
        <v>1219</v>
      </c>
      <c r="Q136" s="3"/>
      <c r="R136" s="8">
        <f t="shared" si="32"/>
        <v>1.8298732027267615E-4</v>
      </c>
      <c r="S136" s="3"/>
      <c r="T136" s="7">
        <v>2000</v>
      </c>
      <c r="U136" s="3"/>
      <c r="V136" s="8">
        <f t="shared" si="33"/>
        <v>2.4361951358197058E-4</v>
      </c>
      <c r="W136" s="3"/>
      <c r="X136" s="7">
        <f t="shared" si="34"/>
        <v>-781</v>
      </c>
      <c r="Y136" s="3"/>
      <c r="Z136" s="8">
        <f t="shared" si="35"/>
        <v>-0.39050000000000001</v>
      </c>
    </row>
    <row r="137" spans="1:26" s="69" customFormat="1" ht="15" customHeight="1" outlineLevel="1" collapsed="1" x14ac:dyDescent="0.3">
      <c r="A137" s="25"/>
      <c r="B137" s="14" t="str">
        <f>CONCATENATE("     ","Travel                                            ")</f>
        <v xml:space="preserve">     Travel                                            </v>
      </c>
      <c r="C137" s="14"/>
      <c r="D137" s="2">
        <f>SUM(OSRRefD22_23x_0)</f>
        <v>149.41</v>
      </c>
      <c r="E137" s="2"/>
      <c r="F137" s="6">
        <f t="shared" si="28"/>
        <v>1.7106114203331075E-4</v>
      </c>
      <c r="G137" s="2"/>
      <c r="H137" s="2">
        <f>SUM(OSRRefH22_23x_0)</f>
        <v>175</v>
      </c>
      <c r="I137" s="2"/>
      <c r="J137" s="6">
        <f t="shared" si="29"/>
        <v>4.9555136460687204E-4</v>
      </c>
      <c r="K137" s="2"/>
      <c r="L137" s="2">
        <f t="shared" si="30"/>
        <v>-25.590000000000003</v>
      </c>
      <c r="M137" s="2"/>
      <c r="N137" s="6">
        <f t="shared" si="31"/>
        <v>-0.14622857142857146</v>
      </c>
      <c r="O137" s="14"/>
      <c r="P137" s="2">
        <f>SUM(OSRRefP22_23x_0)</f>
        <v>1284.98</v>
      </c>
      <c r="Q137" s="2"/>
      <c r="R137" s="6">
        <f t="shared" si="32"/>
        <v>1.9289175291549091E-4</v>
      </c>
      <c r="S137" s="2"/>
      <c r="T137" s="2">
        <f>SUM(OSRRefT22_23x_0)</f>
        <v>2000</v>
      </c>
      <c r="U137" s="2"/>
      <c r="V137" s="6">
        <f t="shared" si="33"/>
        <v>2.4361951358197058E-4</v>
      </c>
      <c r="W137" s="2"/>
      <c r="X137" s="2">
        <f t="shared" si="34"/>
        <v>-715.02</v>
      </c>
      <c r="Y137" s="2"/>
      <c r="Z137" s="6">
        <f t="shared" si="35"/>
        <v>-0.35750999999999999</v>
      </c>
    </row>
    <row r="138" spans="1:26" s="70" customFormat="1" ht="15" hidden="1" customHeight="1" outlineLevel="2" x14ac:dyDescent="0.3">
      <c r="A138" s="26"/>
      <c r="B138" s="12" t="str">
        <f>CONCATENATE("          ","6292"," - ","TRAVEL/CONFERENCE")</f>
        <v xml:space="preserve">          6292 - TRAVEL/CONFERENCE</v>
      </c>
      <c r="C138" s="12"/>
      <c r="D138" s="7"/>
      <c r="E138" s="3"/>
      <c r="F138" s="8">
        <f t="shared" si="28"/>
        <v>0</v>
      </c>
      <c r="G138" s="3"/>
      <c r="H138" s="7">
        <v>125</v>
      </c>
      <c r="I138" s="3"/>
      <c r="J138" s="8">
        <f t="shared" si="29"/>
        <v>3.5396526043348004E-4</v>
      </c>
      <c r="K138" s="3"/>
      <c r="L138" s="7">
        <f t="shared" si="30"/>
        <v>-125</v>
      </c>
      <c r="M138" s="3"/>
      <c r="N138" s="8">
        <f t="shared" si="31"/>
        <v>-1</v>
      </c>
      <c r="O138" s="12"/>
      <c r="P138" s="7">
        <v>495</v>
      </c>
      <c r="Q138" s="3"/>
      <c r="R138" s="8">
        <f t="shared" si="32"/>
        <v>7.4305761718601064E-5</v>
      </c>
      <c r="S138" s="3"/>
      <c r="T138" s="7">
        <v>1250</v>
      </c>
      <c r="U138" s="3"/>
      <c r="V138" s="8">
        <f t="shared" si="33"/>
        <v>1.5226219598873163E-4</v>
      </c>
      <c r="W138" s="3"/>
      <c r="X138" s="7">
        <f t="shared" si="34"/>
        <v>-755</v>
      </c>
      <c r="Y138" s="3"/>
      <c r="Z138" s="8">
        <f t="shared" si="35"/>
        <v>-0.60399999999999998</v>
      </c>
    </row>
    <row r="139" spans="1:26" s="70" customFormat="1" ht="15" hidden="1" customHeight="1" outlineLevel="2" x14ac:dyDescent="0.3">
      <c r="A139" s="26"/>
      <c r="B139" s="12" t="str">
        <f>CONCATENATE("          ","6294"," - ","TRAVEL OPERATIONAL")</f>
        <v xml:space="preserve">          6294 - TRAVEL OPERATIONAL</v>
      </c>
      <c r="C139" s="12"/>
      <c r="D139" s="7"/>
      <c r="E139" s="3"/>
      <c r="F139" s="8">
        <f t="shared" si="28"/>
        <v>0</v>
      </c>
      <c r="G139" s="3"/>
      <c r="H139" s="7">
        <v>25</v>
      </c>
      <c r="I139" s="3"/>
      <c r="J139" s="8">
        <f t="shared" si="29"/>
        <v>7.0793052086695998E-5</v>
      </c>
      <c r="K139" s="3"/>
      <c r="L139" s="7">
        <f t="shared" si="30"/>
        <v>-25</v>
      </c>
      <c r="M139" s="3"/>
      <c r="N139" s="8">
        <f t="shared" si="31"/>
        <v>-1</v>
      </c>
      <c r="O139" s="12"/>
      <c r="P139" s="7">
        <v>403.48</v>
      </c>
      <c r="Q139" s="3"/>
      <c r="R139" s="8">
        <f t="shared" si="32"/>
        <v>6.0567451996406379E-5</v>
      </c>
      <c r="S139" s="3"/>
      <c r="T139" s="7">
        <v>250</v>
      </c>
      <c r="U139" s="3"/>
      <c r="V139" s="8">
        <f t="shared" si="33"/>
        <v>3.0452439197746323E-5</v>
      </c>
      <c r="W139" s="3"/>
      <c r="X139" s="7">
        <f t="shared" si="34"/>
        <v>153.48000000000002</v>
      </c>
      <c r="Y139" s="3"/>
      <c r="Z139" s="8">
        <f t="shared" si="35"/>
        <v>0.61392000000000002</v>
      </c>
    </row>
    <row r="140" spans="1:26" s="70" customFormat="1" ht="15" hidden="1" customHeight="1" outlineLevel="2" x14ac:dyDescent="0.3">
      <c r="A140" s="26"/>
      <c r="B140" s="12" t="str">
        <f>CONCATENATE("          ","6298"," - ","VEHICLE MILEAGE")</f>
        <v xml:space="preserve">          6298 - VEHICLE MILEAGE</v>
      </c>
      <c r="C140" s="12"/>
      <c r="D140" s="7">
        <v>149.41</v>
      </c>
      <c r="E140" s="3"/>
      <c r="F140" s="8">
        <f t="shared" si="28"/>
        <v>1.7106114203331075E-4</v>
      </c>
      <c r="G140" s="3"/>
      <c r="H140" s="7">
        <v>25</v>
      </c>
      <c r="I140" s="3"/>
      <c r="J140" s="8">
        <f t="shared" si="29"/>
        <v>7.0793052086695998E-5</v>
      </c>
      <c r="K140" s="3"/>
      <c r="L140" s="7">
        <f t="shared" si="30"/>
        <v>124.41</v>
      </c>
      <c r="M140" s="3"/>
      <c r="N140" s="8">
        <f t="shared" si="31"/>
        <v>4.9763999999999999</v>
      </c>
      <c r="O140" s="12"/>
      <c r="P140" s="7">
        <v>386.5</v>
      </c>
      <c r="Q140" s="3"/>
      <c r="R140" s="8">
        <f t="shared" si="32"/>
        <v>5.8018539200483456E-5</v>
      </c>
      <c r="S140" s="3"/>
      <c r="T140" s="7">
        <v>500</v>
      </c>
      <c r="U140" s="3"/>
      <c r="V140" s="8">
        <f t="shared" si="33"/>
        <v>6.0904878395492646E-5</v>
      </c>
      <c r="W140" s="3"/>
      <c r="X140" s="7">
        <f t="shared" si="34"/>
        <v>-113.5</v>
      </c>
      <c r="Y140" s="3"/>
      <c r="Z140" s="8">
        <f t="shared" si="35"/>
        <v>-0.22700000000000001</v>
      </c>
    </row>
    <row r="141" spans="1:26" s="69" customFormat="1" ht="15" customHeight="1" outlineLevel="1" collapsed="1" x14ac:dyDescent="0.3">
      <c r="A141" s="25"/>
      <c r="B141" s="14" t="str">
        <f>CONCATENATE("     ","Utilities                                         ")</f>
        <v xml:space="preserve">     Utilities                                         </v>
      </c>
      <c r="C141" s="14"/>
      <c r="D141" s="2">
        <f>SUM(OSRRefD22_24x_0)</f>
        <v>6254.32</v>
      </c>
      <c r="E141" s="2"/>
      <c r="F141" s="6">
        <f t="shared" si="28"/>
        <v>7.1606393269645682E-3</v>
      </c>
      <c r="G141" s="2"/>
      <c r="H141" s="2">
        <f>SUM(OSRRefH22_24x_0)</f>
        <v>6120</v>
      </c>
      <c r="I141" s="2"/>
      <c r="J141" s="6">
        <f t="shared" si="29"/>
        <v>1.7330139150823182E-2</v>
      </c>
      <c r="K141" s="2"/>
      <c r="L141" s="2">
        <f t="shared" si="30"/>
        <v>134.31999999999971</v>
      </c>
      <c r="M141" s="2"/>
      <c r="N141" s="6">
        <f t="shared" si="31"/>
        <v>2.1947712418300607E-2</v>
      </c>
      <c r="O141" s="14"/>
      <c r="P141" s="2">
        <f>SUM(OSRRefP22_24x_0)</f>
        <v>55287.22</v>
      </c>
      <c r="Q141" s="2"/>
      <c r="R141" s="6">
        <f t="shared" si="32"/>
        <v>8.2993111018260096E-3</v>
      </c>
      <c r="S141" s="2"/>
      <c r="T141" s="2">
        <f>SUM(OSRRefT22_24x_0)</f>
        <v>63880</v>
      </c>
      <c r="U141" s="2"/>
      <c r="V141" s="6">
        <f t="shared" si="33"/>
        <v>7.7812072638081412E-3</v>
      </c>
      <c r="W141" s="2"/>
      <c r="X141" s="2">
        <f t="shared" si="34"/>
        <v>-8592.7799999999988</v>
      </c>
      <c r="Y141" s="2"/>
      <c r="Z141" s="6">
        <f t="shared" si="35"/>
        <v>-0.13451440200375703</v>
      </c>
    </row>
    <row r="142" spans="1:26" s="70" customFormat="1" ht="15" hidden="1" customHeight="1" outlineLevel="2" x14ac:dyDescent="0.3">
      <c r="A142" s="26"/>
      <c r="B142" s="12" t="str">
        <f>CONCATENATE("          ","6274"," - ","UTILITIES")</f>
        <v xml:space="preserve">          6274 - UTILITIES</v>
      </c>
      <c r="C142" s="12"/>
      <c r="D142" s="7">
        <v>6254.32</v>
      </c>
      <c r="E142" s="3"/>
      <c r="F142" s="8">
        <f t="shared" si="28"/>
        <v>7.1606393269645682E-3</v>
      </c>
      <c r="G142" s="3"/>
      <c r="H142" s="7">
        <v>6120</v>
      </c>
      <c r="I142" s="3"/>
      <c r="J142" s="8">
        <f t="shared" si="29"/>
        <v>1.7330139150823182E-2</v>
      </c>
      <c r="K142" s="3"/>
      <c r="L142" s="7">
        <f t="shared" si="30"/>
        <v>134.31999999999971</v>
      </c>
      <c r="M142" s="3"/>
      <c r="N142" s="8">
        <f t="shared" si="31"/>
        <v>2.1947712418300607E-2</v>
      </c>
      <c r="O142" s="12"/>
      <c r="P142" s="7">
        <v>55287.22</v>
      </c>
      <c r="Q142" s="3"/>
      <c r="R142" s="8">
        <f t="shared" si="32"/>
        <v>8.2993111018260096E-3</v>
      </c>
      <c r="S142" s="3"/>
      <c r="T142" s="7">
        <v>63880</v>
      </c>
      <c r="U142" s="3"/>
      <c r="V142" s="8">
        <f t="shared" si="33"/>
        <v>7.7812072638081412E-3</v>
      </c>
      <c r="W142" s="3"/>
      <c r="X142" s="7">
        <f t="shared" si="34"/>
        <v>-8592.7799999999988</v>
      </c>
      <c r="Y142" s="3"/>
      <c r="Z142" s="8">
        <f t="shared" si="35"/>
        <v>-0.13451440200375703</v>
      </c>
    </row>
    <row r="143" spans="1:26" s="65" customFormat="1" ht="15" customHeight="1" x14ac:dyDescent="0.3">
      <c r="A143" s="35"/>
      <c r="B143" s="35"/>
      <c r="C143" s="35"/>
      <c r="D143" s="2"/>
      <c r="E143" s="2"/>
      <c r="F143" s="6"/>
      <c r="G143" s="2"/>
      <c r="H143" s="2"/>
      <c r="I143" s="2"/>
      <c r="J143" s="6"/>
      <c r="K143" s="2"/>
      <c r="L143" s="2"/>
      <c r="M143" s="2"/>
      <c r="N143" s="6"/>
      <c r="O143" s="35"/>
      <c r="P143" s="2"/>
      <c r="Q143" s="2"/>
      <c r="R143" s="6"/>
      <c r="S143" s="2"/>
      <c r="T143" s="2"/>
      <c r="U143" s="2"/>
      <c r="V143" s="6"/>
      <c r="W143" s="2"/>
      <c r="X143" s="2"/>
      <c r="Y143" s="2"/>
      <c r="Z143" s="6"/>
    </row>
    <row r="144" spans="1:26" s="63" customFormat="1" ht="15" customHeight="1" collapsed="1" x14ac:dyDescent="0.3">
      <c r="A144" s="11"/>
      <c r="B144" s="28" t="s">
        <v>291</v>
      </c>
      <c r="C144" s="11"/>
      <c r="D144" s="5">
        <f>SUM(OSRRefD25x_0)</f>
        <v>55053.770000000004</v>
      </c>
      <c r="E144" s="5"/>
      <c r="F144" s="13">
        <f t="shared" ref="F144:F149" si="36">IF(D$12=0,0,D144/D$12)</f>
        <v>6.3031663004077532E-2</v>
      </c>
      <c r="G144" s="5"/>
      <c r="H144" s="5">
        <f>SUM(OSRRefH25x_0)</f>
        <v>32626</v>
      </c>
      <c r="I144" s="5"/>
      <c r="J144" s="13">
        <f t="shared" ref="J144:J149" si="37">IF(H$12=0,0,H144/H$12)</f>
        <v>9.2387764695221752E-2</v>
      </c>
      <c r="K144" s="5"/>
      <c r="L144" s="5">
        <f t="shared" ref="L144:L149" si="38">+D144-H144</f>
        <v>22427.770000000004</v>
      </c>
      <c r="M144" s="5"/>
      <c r="N144" s="13">
        <f t="shared" ref="N144:N149" si="39">IF(H144=0,0,L144/H144)</f>
        <v>0.6874201557040398</v>
      </c>
      <c r="O144" s="11"/>
      <c r="P144" s="5">
        <f>SUM(OSRRefP25x_0)</f>
        <v>965961.1100000001</v>
      </c>
      <c r="Q144" s="5"/>
      <c r="R144" s="13">
        <f t="shared" ref="R144:R149" si="40">IF(P$12=0,0,P144/P$12)</f>
        <v>0.14500298195776848</v>
      </c>
      <c r="S144" s="5"/>
      <c r="T144" s="5">
        <f>SUM(OSRRefT25x_0)</f>
        <v>737298.23</v>
      </c>
      <c r="U144" s="5"/>
      <c r="V144" s="13">
        <f t="shared" ref="V144:V149" si="41">IF(T$12=0,0,T144/T$12)</f>
        <v>8.9810118078723938E-2</v>
      </c>
      <c r="W144" s="5"/>
      <c r="X144" s="5">
        <f t="shared" ref="X144:X149" si="42">+P144-T144</f>
        <v>228662.88000000012</v>
      </c>
      <c r="Y144" s="5"/>
      <c r="Z144" s="13">
        <f t="shared" ref="Z144:Z149" si="43">IF(T144=0,0,X144/T144)</f>
        <v>0.31013621177416922</v>
      </c>
    </row>
    <row r="145" spans="1:26" s="70" customFormat="1" ht="15" hidden="1" customHeight="1" outlineLevel="1" x14ac:dyDescent="0.3">
      <c r="A145" s="42"/>
      <c r="B145" s="12" t="str">
        <f>CONCATENATE("          ","9150"," - ","MISC. INCOME")</f>
        <v xml:space="preserve">          9150 - MISC. INCOME</v>
      </c>
      <c r="C145" s="12"/>
      <c r="D145" s="3">
        <f>--53560.86</f>
        <v>53560.86</v>
      </c>
      <c r="E145" s="3"/>
      <c r="F145" s="20">
        <f t="shared" si="36"/>
        <v>6.1322414027750974E-2</v>
      </c>
      <c r="G145" s="3"/>
      <c r="H145" s="3">
        <v>32626</v>
      </c>
      <c r="I145" s="3"/>
      <c r="J145" s="20">
        <f t="shared" si="37"/>
        <v>9.2387764695221752E-2</v>
      </c>
      <c r="K145" s="3"/>
      <c r="L145" s="3">
        <f t="shared" si="38"/>
        <v>20934.86</v>
      </c>
      <c r="M145" s="3"/>
      <c r="N145" s="20">
        <f t="shared" si="39"/>
        <v>0.64166186477042852</v>
      </c>
      <c r="O145" s="12"/>
      <c r="P145" s="3">
        <f>--381491.28</f>
        <v>381491.28</v>
      </c>
      <c r="Q145" s="3"/>
      <c r="R145" s="20">
        <f t="shared" si="40"/>
        <v>5.7266666968493175E-2</v>
      </c>
      <c r="S145" s="3"/>
      <c r="T145" s="3">
        <v>163770</v>
      </c>
      <c r="U145" s="3"/>
      <c r="V145" s="20">
        <f t="shared" si="41"/>
        <v>1.9948783869659661E-2</v>
      </c>
      <c r="W145" s="3"/>
      <c r="X145" s="3">
        <f t="shared" si="42"/>
        <v>217721.28000000003</v>
      </c>
      <c r="Y145" s="3"/>
      <c r="Z145" s="20">
        <f t="shared" si="43"/>
        <v>1.3294332295292179</v>
      </c>
    </row>
    <row r="146" spans="1:26" s="70" customFormat="1" ht="15" hidden="1" customHeight="1" outlineLevel="1" x14ac:dyDescent="0.3">
      <c r="A146" s="42"/>
      <c r="B146" s="12" t="str">
        <f>CONCATENATE("          ","9151"," - ","MISC. INCOME")</f>
        <v xml:space="preserve">          9151 - MISC. INCOME</v>
      </c>
      <c r="C146" s="12"/>
      <c r="D146" s="3">
        <f>0</f>
        <v>0</v>
      </c>
      <c r="E146" s="3"/>
      <c r="F146" s="20">
        <f t="shared" si="36"/>
        <v>0</v>
      </c>
      <c r="G146" s="3"/>
      <c r="H146" s="3"/>
      <c r="I146" s="3"/>
      <c r="J146" s="20">
        <f t="shared" si="37"/>
        <v>0</v>
      </c>
      <c r="K146" s="3"/>
      <c r="L146" s="3">
        <f t="shared" si="38"/>
        <v>0</v>
      </c>
      <c r="M146" s="3"/>
      <c r="N146" s="20">
        <f t="shared" si="39"/>
        <v>0</v>
      </c>
      <c r="O146" s="12"/>
      <c r="P146" s="3">
        <f>--323761.7</f>
        <v>323761.7</v>
      </c>
      <c r="Q146" s="3"/>
      <c r="R146" s="20">
        <f t="shared" si="40"/>
        <v>4.8600726734968083E-2</v>
      </c>
      <c r="S146" s="3"/>
      <c r="T146" s="3">
        <v>456862.23</v>
      </c>
      <c r="U146" s="3"/>
      <c r="V146" s="20">
        <f t="shared" si="41"/>
        <v>5.5650277123287184E-2</v>
      </c>
      <c r="W146" s="3"/>
      <c r="X146" s="3">
        <f t="shared" si="42"/>
        <v>-133100.52999999997</v>
      </c>
      <c r="Y146" s="3"/>
      <c r="Z146" s="20">
        <f t="shared" si="43"/>
        <v>-0.29133625250658163</v>
      </c>
    </row>
    <row r="147" spans="1:26" s="70" customFormat="1" ht="15" hidden="1" customHeight="1" outlineLevel="1" x14ac:dyDescent="0.3">
      <c r="A147" s="42"/>
      <c r="B147" s="12" t="str">
        <f>CONCATENATE("          ","9152"," - ","MISC. INCOME")</f>
        <v xml:space="preserve">          9152 - MISC. INCOME</v>
      </c>
      <c r="C147" s="12"/>
      <c r="D147" s="3">
        <f>-496.09</f>
        <v>-496.09</v>
      </c>
      <c r="E147" s="3"/>
      <c r="F147" s="20">
        <f t="shared" si="36"/>
        <v>-5.679788632039698E-4</v>
      </c>
      <c r="G147" s="3"/>
      <c r="H147" s="3"/>
      <c r="I147" s="3"/>
      <c r="J147" s="20">
        <f t="shared" si="37"/>
        <v>0</v>
      </c>
      <c r="K147" s="3"/>
      <c r="L147" s="3">
        <f t="shared" si="38"/>
        <v>-496.09</v>
      </c>
      <c r="M147" s="3"/>
      <c r="N147" s="20">
        <f t="shared" si="39"/>
        <v>0</v>
      </c>
      <c r="O147" s="12"/>
      <c r="P147" s="3">
        <f>--3888.43</f>
        <v>3888.43</v>
      </c>
      <c r="Q147" s="3"/>
      <c r="R147" s="20">
        <f t="shared" si="40"/>
        <v>5.8370253139284831E-4</v>
      </c>
      <c r="S147" s="3"/>
      <c r="T147" s="3"/>
      <c r="U147" s="3"/>
      <c r="V147" s="20">
        <f t="shared" si="41"/>
        <v>0</v>
      </c>
      <c r="W147" s="3"/>
      <c r="X147" s="3">
        <f t="shared" si="42"/>
        <v>3888.43</v>
      </c>
      <c r="Y147" s="3"/>
      <c r="Z147" s="20">
        <f t="shared" si="43"/>
        <v>0</v>
      </c>
    </row>
    <row r="148" spans="1:26" s="70" customFormat="1" ht="15" hidden="1" customHeight="1" outlineLevel="1" x14ac:dyDescent="0.3">
      <c r="A148" s="42"/>
      <c r="B148" s="12" t="str">
        <f>CONCATENATE("          ","9160"," - ","MISC. INCOME")</f>
        <v xml:space="preserve">          9160 - MISC. INCOME</v>
      </c>
      <c r="C148" s="12"/>
      <c r="D148" s="3">
        <f>0</f>
        <v>0</v>
      </c>
      <c r="E148" s="3"/>
      <c r="F148" s="20">
        <f t="shared" si="36"/>
        <v>0</v>
      </c>
      <c r="G148" s="3"/>
      <c r="H148" s="3">
        <v>0</v>
      </c>
      <c r="I148" s="3"/>
      <c r="J148" s="20">
        <f t="shared" si="37"/>
        <v>0</v>
      </c>
      <c r="K148" s="3"/>
      <c r="L148" s="3">
        <f t="shared" si="38"/>
        <v>0</v>
      </c>
      <c r="M148" s="3"/>
      <c r="N148" s="20">
        <f t="shared" si="39"/>
        <v>0</v>
      </c>
      <c r="O148" s="12"/>
      <c r="P148" s="3">
        <f>0</f>
        <v>0</v>
      </c>
      <c r="Q148" s="3"/>
      <c r="R148" s="20">
        <f t="shared" si="40"/>
        <v>0</v>
      </c>
      <c r="S148" s="3"/>
      <c r="T148" s="3">
        <v>116666</v>
      </c>
      <c r="U148" s="3"/>
      <c r="V148" s="20">
        <f t="shared" si="41"/>
        <v>1.4211057085777091E-2</v>
      </c>
      <c r="W148" s="3"/>
      <c r="X148" s="3">
        <f t="shared" si="42"/>
        <v>-116666</v>
      </c>
      <c r="Y148" s="3"/>
      <c r="Z148" s="20">
        <f t="shared" si="43"/>
        <v>-1</v>
      </c>
    </row>
    <row r="149" spans="1:26" s="70" customFormat="1" ht="15" hidden="1" customHeight="1" outlineLevel="1" x14ac:dyDescent="0.3">
      <c r="A149" s="42"/>
      <c r="B149" s="12" t="str">
        <f>CONCATENATE("          ","9163"," - ","MISC. INCOME")</f>
        <v xml:space="preserve">          9163 - MISC. INCOME</v>
      </c>
      <c r="C149" s="12"/>
      <c r="D149" s="3">
        <f>--1989</f>
        <v>1989</v>
      </c>
      <c r="E149" s="3"/>
      <c r="F149" s="20">
        <f t="shared" si="36"/>
        <v>2.2772278395305208E-3</v>
      </c>
      <c r="G149" s="3"/>
      <c r="H149" s="3"/>
      <c r="I149" s="3"/>
      <c r="J149" s="20">
        <f t="shared" si="37"/>
        <v>0</v>
      </c>
      <c r="K149" s="3"/>
      <c r="L149" s="3">
        <f t="shared" si="38"/>
        <v>1989</v>
      </c>
      <c r="M149" s="3"/>
      <c r="N149" s="20">
        <f t="shared" si="39"/>
        <v>0</v>
      </c>
      <c r="O149" s="12"/>
      <c r="P149" s="3">
        <f>--256819.7</f>
        <v>256819.7</v>
      </c>
      <c r="Q149" s="3"/>
      <c r="R149" s="20">
        <f t="shared" si="40"/>
        <v>3.8551885722914361E-2</v>
      </c>
      <c r="S149" s="3"/>
      <c r="T149" s="3"/>
      <c r="U149" s="3"/>
      <c r="V149" s="20">
        <f t="shared" si="41"/>
        <v>0</v>
      </c>
      <c r="W149" s="3"/>
      <c r="X149" s="3">
        <f t="shared" si="42"/>
        <v>256819.7</v>
      </c>
      <c r="Y149" s="3"/>
      <c r="Z149" s="20">
        <f t="shared" si="43"/>
        <v>0</v>
      </c>
    </row>
    <row r="150" spans="1:26" ht="15" customHeight="1" x14ac:dyDescent="0.3">
      <c r="A150" s="10"/>
      <c r="B150" s="11"/>
      <c r="C150" s="11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O150" s="11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3" customFormat="1" ht="15" customHeight="1" x14ac:dyDescent="0.3">
      <c r="A151" s="11"/>
      <c r="B151" s="27" t="s">
        <v>292</v>
      </c>
      <c r="C151" s="27"/>
      <c r="D151" s="21">
        <f>+D50-D52+D144</f>
        <v>189641.1999999999</v>
      </c>
      <c r="E151" s="15"/>
      <c r="F151" s="23">
        <f>IF(D$12=0,0,D151/D$12)</f>
        <v>0.21712228263548275</v>
      </c>
      <c r="G151" s="15"/>
      <c r="H151" s="21">
        <f>+H50-H52+H144</f>
        <v>-97982.956390756415</v>
      </c>
      <c r="I151" s="15"/>
      <c r="J151" s="23">
        <f>IF(H$12=0,0,H151/H$12)</f>
        <v>-0.27746050141517126</v>
      </c>
      <c r="K151" s="17"/>
      <c r="L151" s="21">
        <f>+D151-H151</f>
        <v>287624.15639075631</v>
      </c>
      <c r="M151" s="17"/>
      <c r="N151" s="23">
        <f>IF(H151=0,0,L151/H151)</f>
        <v>-2.9354508884556418</v>
      </c>
      <c r="O151" s="28"/>
      <c r="P151" s="21">
        <f>+P50-P52+P144</f>
        <v>715180.36000000103</v>
      </c>
      <c r="Q151" s="15"/>
      <c r="R151" s="23">
        <f>IF(P$12=0,0,P151/P$12)</f>
        <v>0.1073576190221887</v>
      </c>
      <c r="S151" s="15"/>
      <c r="T151" s="21">
        <f>+T50-T52+T144</f>
        <v>538017.31691085128</v>
      </c>
      <c r="U151" s="15"/>
      <c r="V151" s="23">
        <f>IF(T$12=0,0,T151/T$12)</f>
        <v>6.5535758522249257E-2</v>
      </c>
      <c r="W151" s="17"/>
      <c r="X151" s="21">
        <f>+P151-T151</f>
        <v>177163.04308914975</v>
      </c>
      <c r="Y151" s="17"/>
      <c r="Z151" s="23">
        <f>IF(T151=0,0,X151/T151)</f>
        <v>0.32928873759374816</v>
      </c>
    </row>
    <row r="152" spans="1:26" ht="15" customHeight="1" x14ac:dyDescent="0.3">
      <c r="A152" s="10"/>
      <c r="B152" s="11"/>
      <c r="C152" s="10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s="63" customFormat="1" ht="15" customHeight="1" x14ac:dyDescent="0.3">
      <c r="A153" s="49"/>
      <c r="B153" s="11" t="s">
        <v>293</v>
      </c>
      <c r="C153" s="11"/>
      <c r="D153" s="5">
        <v>63847.66</v>
      </c>
      <c r="E153" s="5"/>
      <c r="F153" s="13">
        <f>IF(D$12=0,0,D153/D$12)</f>
        <v>7.3099883781236427E-2</v>
      </c>
      <c r="G153" s="5"/>
      <c r="H153" s="5">
        <v>53128</v>
      </c>
      <c r="I153" s="5"/>
      <c r="J153" s="13">
        <f>IF(H$12=0,0,H153/H$12)</f>
        <v>0.15044373085047941</v>
      </c>
      <c r="K153" s="5"/>
      <c r="L153" s="5">
        <f>+D153-H153</f>
        <v>10719.660000000003</v>
      </c>
      <c r="M153" s="5"/>
      <c r="N153" s="13">
        <f>IF(H153=0,0,L153/H153)</f>
        <v>0.20177044119861473</v>
      </c>
      <c r="O153" s="11"/>
      <c r="P153" s="5">
        <v>754659.11</v>
      </c>
      <c r="Q153" s="5"/>
      <c r="R153" s="13">
        <f>IF(P$12=0,0,P153/P$12)</f>
        <v>0.11328387880087182</v>
      </c>
      <c r="S153" s="5"/>
      <c r="T153" s="5">
        <v>1009891</v>
      </c>
      <c r="U153" s="5"/>
      <c r="V153" s="13">
        <f>IF(T$12=0,0,T153/T$12)</f>
        <v>0.12301457709540493</v>
      </c>
      <c r="W153" s="5"/>
      <c r="X153" s="5">
        <f>+P153-T153</f>
        <v>-255231.89</v>
      </c>
      <c r="Y153" s="5"/>
      <c r="Z153" s="13">
        <f>IF(T153=0,0,X153/T153)</f>
        <v>-0.25273211663436945</v>
      </c>
    </row>
    <row r="154" spans="1:26" ht="15" customHeight="1" x14ac:dyDescent="0.3">
      <c r="A154" s="10"/>
      <c r="B154" s="11"/>
      <c r="C154" s="11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O154" s="11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s="63" customFormat="1" ht="15" customHeight="1" x14ac:dyDescent="0.3">
      <c r="A155" s="11"/>
      <c r="B155" s="27" t="s">
        <v>294</v>
      </c>
      <c r="C155" s="27"/>
      <c r="D155" s="29">
        <f>+D151-D153</f>
        <v>125793.53999999989</v>
      </c>
      <c r="E155" s="15"/>
      <c r="F155" s="30">
        <f>IF(D$12=0,0,D155/D$12)</f>
        <v>0.14402239885424631</v>
      </c>
      <c r="G155" s="15"/>
      <c r="H155" s="29">
        <f>+H151-H153</f>
        <v>-151110.95639075642</v>
      </c>
      <c r="I155" s="15"/>
      <c r="J155" s="30">
        <f>IF(H$12=0,0,H155/H$12)</f>
        <v>-0.42790423226565066</v>
      </c>
      <c r="K155" s="17"/>
      <c r="L155" s="29">
        <f>D155-H155</f>
        <v>276904.49639075634</v>
      </c>
      <c r="M155" s="17"/>
      <c r="N155" s="30">
        <f>IF(H155=0,0,L155/H155)</f>
        <v>-1.8324581023411139</v>
      </c>
      <c r="O155" s="28"/>
      <c r="P155" s="29">
        <f>+P151-P153</f>
        <v>-39478.749999998952</v>
      </c>
      <c r="Q155" s="15"/>
      <c r="R155" s="30">
        <f>IF(P$12=0,0,P155/P$12)</f>
        <v>-5.9262597786831185E-3</v>
      </c>
      <c r="S155" s="15"/>
      <c r="T155" s="29">
        <f>+T151-T153</f>
        <v>-471873.68308914872</v>
      </c>
      <c r="U155" s="15"/>
      <c r="V155" s="30">
        <f>IF(T$12=0,0,T155/T$12)</f>
        <v>-5.7478818573155677E-2</v>
      </c>
      <c r="W155" s="17"/>
      <c r="X155" s="29">
        <f>P155-T155</f>
        <v>432394.93308914977</v>
      </c>
      <c r="Y155" s="17"/>
      <c r="Z155" s="30">
        <f>IF(T155=0,0,X155/T155)</f>
        <v>-0.91633619035172931</v>
      </c>
    </row>
    <row r="156" spans="1:26" ht="15" customHeight="1" x14ac:dyDescent="0.3">
      <c r="A156" s="10"/>
      <c r="B156" s="10"/>
      <c r="C156" s="10"/>
      <c r="D156" s="4"/>
      <c r="E156" s="4"/>
      <c r="F156" s="9"/>
      <c r="G156" s="4"/>
      <c r="H156" s="4"/>
      <c r="I156" s="4"/>
      <c r="J156" s="9"/>
      <c r="K156" s="4"/>
      <c r="L156" s="4"/>
      <c r="M156" s="4"/>
      <c r="N156" s="9"/>
      <c r="P156" s="4"/>
      <c r="Q156" s="4"/>
      <c r="R156" s="9"/>
      <c r="S156" s="4"/>
      <c r="T156" s="4"/>
      <c r="U156" s="4"/>
      <c r="V156" s="9"/>
      <c r="W156" s="4"/>
      <c r="X156" s="4"/>
      <c r="Y156" s="4"/>
      <c r="Z156" s="9"/>
    </row>
    <row r="157" spans="1:26" ht="15" customHeight="1" x14ac:dyDescent="0.3">
      <c r="A157" s="10"/>
      <c r="B157" s="10"/>
      <c r="C157" s="10"/>
      <c r="D157" s="4"/>
      <c r="E157" s="4"/>
      <c r="F157" s="9"/>
      <c r="G157" s="4"/>
      <c r="H157" s="4"/>
      <c r="I157" s="4"/>
      <c r="J157" s="9"/>
      <c r="K157" s="4"/>
      <c r="L157" s="4"/>
      <c r="M157" s="4"/>
      <c r="N157" s="9"/>
      <c r="P157" s="4"/>
      <c r="Q157" s="4"/>
      <c r="R157" s="9"/>
      <c r="S157" s="4"/>
      <c r="T157" s="4"/>
      <c r="U157" s="4"/>
      <c r="V157" s="9"/>
      <c r="W157" s="4"/>
      <c r="X157" s="4"/>
      <c r="Y157" s="4"/>
      <c r="Z157" s="9"/>
    </row>
    <row r="158" spans="1:26" s="63" customFormat="1" ht="15" customHeight="1" x14ac:dyDescent="0.3">
      <c r="A158" s="11"/>
      <c r="B158" s="27" t="s">
        <v>297</v>
      </c>
      <c r="C158" s="27"/>
      <c r="D158" s="32">
        <f>SUM(D155:D157)</f>
        <v>125793.53999999989</v>
      </c>
      <c r="E158" s="15"/>
      <c r="F158" s="34">
        <f>IF(D$12=0,0,D158/D$12)</f>
        <v>0.14402239885424631</v>
      </c>
      <c r="G158" s="15"/>
      <c r="H158" s="32">
        <f>SUM(H155:H157)</f>
        <v>-151110.95639075642</v>
      </c>
      <c r="I158" s="15"/>
      <c r="J158" s="34">
        <f>IF(H$12=0,0,H158/H$12)</f>
        <v>-0.42790423226565066</v>
      </c>
      <c r="K158" s="17"/>
      <c r="L158" s="32">
        <f>+D158-H158</f>
        <v>276904.49639075634</v>
      </c>
      <c r="M158" s="17"/>
      <c r="N158" s="34">
        <f>IF(H158=0,0,L158/H158)</f>
        <v>-1.8324581023411139</v>
      </c>
      <c r="O158" s="28"/>
      <c r="P158" s="32">
        <f>SUM(P155:P157)</f>
        <v>-39478.749999998952</v>
      </c>
      <c r="Q158" s="15"/>
      <c r="R158" s="34">
        <f>IF(P$12=0,0,P158/P$12)</f>
        <v>-5.9262597786831185E-3</v>
      </c>
      <c r="S158" s="15"/>
      <c r="T158" s="32">
        <f>SUM(T155:T157)</f>
        <v>-471873.68308914872</v>
      </c>
      <c r="U158" s="15"/>
      <c r="V158" s="34">
        <f>IF(T$12=0,0,T158/T$12)</f>
        <v>-5.7478818573155677E-2</v>
      </c>
      <c r="W158" s="17"/>
      <c r="X158" s="32">
        <f>+P158-T158</f>
        <v>432394.93308914977</v>
      </c>
      <c r="Y158" s="17"/>
      <c r="Z158" s="34">
        <f>IF(T158=0,0,X158/T158)</f>
        <v>-0.91633619035172931</v>
      </c>
    </row>
    <row r="159" spans="1:26" ht="15" customHeight="1" x14ac:dyDescent="0.3">
      <c r="A159" s="10"/>
      <c r="C159" s="10"/>
      <c r="D159" s="19"/>
      <c r="E159" s="19"/>
      <c r="G159" s="19"/>
      <c r="H159" s="19"/>
      <c r="I159" s="19"/>
      <c r="J159" s="40"/>
      <c r="K159" s="19"/>
      <c r="L159" s="19"/>
      <c r="M159" s="19"/>
      <c r="P159" s="19"/>
      <c r="Q159" s="19"/>
      <c r="R159" s="40"/>
      <c r="S159" s="19"/>
      <c r="T159" s="19"/>
      <c r="U159" s="19"/>
      <c r="V159" s="40"/>
      <c r="W159" s="19"/>
      <c r="X159" s="19"/>
    </row>
    <row r="160" spans="1:26" ht="15" customHeight="1" x14ac:dyDescent="0.3">
      <c r="A160" s="10"/>
      <c r="B160" s="56">
        <v>44694.888517280095</v>
      </c>
      <c r="D160" s="19"/>
      <c r="E160" s="19"/>
      <c r="G160" s="19"/>
      <c r="H160" s="19"/>
      <c r="I160" s="19"/>
      <c r="J160" s="40"/>
      <c r="K160" s="19"/>
      <c r="L160" s="19"/>
      <c r="M160" s="19"/>
      <c r="P160" s="19"/>
      <c r="Q160" s="19"/>
      <c r="R160" s="40"/>
      <c r="S160" s="19"/>
      <c r="T160" s="19"/>
      <c r="U160" s="19"/>
      <c r="V160" s="40"/>
      <c r="W160" s="19"/>
      <c r="X160" s="19"/>
    </row>
    <row r="161" spans="1:24" ht="15" customHeight="1" x14ac:dyDescent="0.3">
      <c r="A161" s="10"/>
      <c r="B161" s="50" t="s">
        <v>298</v>
      </c>
      <c r="D161" s="19"/>
      <c r="E161" s="19"/>
      <c r="G161" s="19"/>
      <c r="H161" s="19"/>
      <c r="I161" s="19"/>
      <c r="J161" s="40"/>
      <c r="K161" s="19"/>
      <c r="L161" s="19"/>
      <c r="M161" s="19"/>
      <c r="P161" s="19"/>
      <c r="Q161" s="19"/>
      <c r="R161" s="40"/>
      <c r="S161" s="19"/>
      <c r="T161" s="19"/>
      <c r="U161" s="19"/>
      <c r="V161" s="40"/>
      <c r="W161" s="19"/>
      <c r="X161" s="19"/>
    </row>
    <row r="162" spans="1:24" ht="15" customHeight="1" x14ac:dyDescent="0.3">
      <c r="A162" s="10"/>
      <c r="B162" s="51"/>
      <c r="D162" s="19"/>
      <c r="E162" s="19"/>
      <c r="G162" s="19"/>
      <c r="H162" s="19"/>
      <c r="I162" s="19"/>
      <c r="J162" s="40"/>
      <c r="K162" s="19"/>
      <c r="L162" s="19"/>
      <c r="M162" s="19"/>
      <c r="P162" s="19"/>
      <c r="Q162" s="19"/>
      <c r="R162" s="40"/>
      <c r="S162" s="19"/>
      <c r="T162" s="19"/>
      <c r="U162" s="19"/>
      <c r="V162" s="40"/>
      <c r="W162" s="19"/>
      <c r="X162" s="19"/>
    </row>
    <row r="163" spans="1:24" ht="15" customHeight="1" x14ac:dyDescent="0.3">
      <c r="D163" s="19"/>
      <c r="E163" s="19"/>
      <c r="G163" s="19"/>
      <c r="H163" s="19"/>
      <c r="I163" s="19"/>
      <c r="J163" s="40"/>
      <c r="K163" s="19"/>
      <c r="L163" s="19"/>
      <c r="M163" s="19"/>
      <c r="P163" s="19"/>
      <c r="Q163" s="19"/>
      <c r="R163" s="40"/>
      <c r="S163" s="19"/>
      <c r="T163" s="19"/>
      <c r="U163" s="19"/>
      <c r="V163" s="40"/>
      <c r="W163" s="19"/>
      <c r="X16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74DD1-1D08-97EC-1084-5B6D21F71BC7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278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E682F-48EA-7A25-1473-AE95ED9F8D4A}">
  <sheetPr>
    <tabColor theme="5" tint="0.39997558519241921"/>
    <outlinePr summaryBelow="0" summaryRight="0"/>
  </sheetPr>
  <dimension ref="A2:Z17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303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1193476.0199999998</v>
      </c>
      <c r="E12" s="5"/>
      <c r="F12" s="13"/>
      <c r="G12" s="5"/>
      <c r="H12" s="5">
        <f>SUM(OSRRefH13x_0)</f>
        <v>559372</v>
      </c>
      <c r="I12" s="5"/>
      <c r="J12" s="13"/>
      <c r="K12" s="5"/>
      <c r="L12" s="5">
        <f t="shared" ref="L12:L19" si="0">+D12-H12</f>
        <v>634104.01999999979</v>
      </c>
      <c r="M12" s="5"/>
      <c r="N12" s="13">
        <f t="shared" ref="N12:N19" si="1">IF(H12=0,0,L12/H12)</f>
        <v>1.1335998584126481</v>
      </c>
      <c r="O12" s="11"/>
      <c r="P12" s="5">
        <f>SUM(OSRRefP13x_0)</f>
        <v>8732181.2400000021</v>
      </c>
      <c r="Q12" s="5"/>
      <c r="R12" s="13"/>
      <c r="S12" s="5"/>
      <c r="T12" s="5">
        <f>SUM(OSRRefT13x_0)</f>
        <v>10001416</v>
      </c>
      <c r="U12" s="5"/>
      <c r="V12" s="13"/>
      <c r="W12" s="5"/>
      <c r="X12" s="5">
        <f t="shared" ref="X12:X19" si="2">+P12-T12</f>
        <v>-1269234.7599999979</v>
      </c>
      <c r="Y12" s="5"/>
      <c r="Z12" s="13">
        <f t="shared" ref="Z12:Z19" si="3">IF(T12=0,0,X12/T12)</f>
        <v>-0.12690550618032465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--1249345.73</f>
        <v>1249345.73</v>
      </c>
      <c r="E13" s="3"/>
      <c r="F13" s="20"/>
      <c r="G13" s="3"/>
      <c r="H13" s="3">
        <v>494286</v>
      </c>
      <c r="I13" s="3"/>
      <c r="J13" s="20"/>
      <c r="K13" s="3"/>
      <c r="L13" s="3">
        <f t="shared" si="0"/>
        <v>755059.73</v>
      </c>
      <c r="M13" s="3"/>
      <c r="N13" s="20">
        <f t="shared" si="1"/>
        <v>1.5275766054470488</v>
      </c>
      <c r="O13" s="12"/>
      <c r="P13" s="3">
        <f>--7669437</f>
        <v>7669437</v>
      </c>
      <c r="Q13" s="3"/>
      <c r="R13" s="20"/>
      <c r="S13" s="3"/>
      <c r="T13" s="3">
        <v>9535917</v>
      </c>
      <c r="U13" s="3"/>
      <c r="V13" s="20"/>
      <c r="W13" s="3"/>
      <c r="X13" s="3">
        <f t="shared" si="2"/>
        <v>-1866480</v>
      </c>
      <c r="Y13" s="3"/>
      <c r="Z13" s="20">
        <f t="shared" si="3"/>
        <v>-0.19573156939180575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--210890.92</f>
        <v>210890.92</v>
      </c>
      <c r="E14" s="3"/>
      <c r="F14" s="20"/>
      <c r="G14" s="3"/>
      <c r="H14" s="3">
        <v>65086</v>
      </c>
      <c r="I14" s="3"/>
      <c r="J14" s="20"/>
      <c r="K14" s="3"/>
      <c r="L14" s="3">
        <f t="shared" si="0"/>
        <v>145804.92000000001</v>
      </c>
      <c r="M14" s="3"/>
      <c r="N14" s="20">
        <f t="shared" si="1"/>
        <v>2.240188673447439</v>
      </c>
      <c r="O14" s="12"/>
      <c r="P14" s="3">
        <f>--1885850.37</f>
        <v>1885850.37</v>
      </c>
      <c r="Q14" s="3"/>
      <c r="R14" s="20"/>
      <c r="S14" s="3"/>
      <c r="T14" s="3">
        <v>465499</v>
      </c>
      <c r="U14" s="3"/>
      <c r="V14" s="20"/>
      <c r="W14" s="3"/>
      <c r="X14" s="3">
        <f t="shared" si="2"/>
        <v>1420351.37</v>
      </c>
      <c r="Y14" s="3"/>
      <c r="Z14" s="20">
        <f t="shared" si="3"/>
        <v>3.0512447287749276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-241952.39</f>
        <v>-241952.39</v>
      </c>
      <c r="E17" s="3"/>
      <c r="F17" s="20"/>
      <c r="G17" s="3"/>
      <c r="H17" s="3"/>
      <c r="I17" s="3"/>
      <c r="J17" s="20"/>
      <c r="K17" s="3"/>
      <c r="L17" s="3">
        <f t="shared" si="0"/>
        <v>-241952.39</v>
      </c>
      <c r="M17" s="3"/>
      <c r="N17" s="20">
        <f t="shared" si="1"/>
        <v>0</v>
      </c>
      <c r="O17" s="12"/>
      <c r="P17" s="3">
        <f>-672870.61</f>
        <v>-672870.61</v>
      </c>
      <c r="Q17" s="3"/>
      <c r="R17" s="20"/>
      <c r="S17" s="3"/>
      <c r="T17" s="3"/>
      <c r="U17" s="3"/>
      <c r="V17" s="20"/>
      <c r="W17" s="3"/>
      <c r="X17" s="3">
        <f t="shared" si="2"/>
        <v>-672870.61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","4300"," - ","NON-TAX RETURNS")</f>
        <v xml:space="preserve">          4300 - NON-TAX RETURNS</v>
      </c>
      <c r="C18" s="12"/>
      <c r="D18" s="3">
        <f>-9969.65</f>
        <v>-9969.65</v>
      </c>
      <c r="E18" s="3"/>
      <c r="F18" s="20"/>
      <c r="G18" s="3"/>
      <c r="H18" s="3"/>
      <c r="I18" s="3"/>
      <c r="J18" s="20"/>
      <c r="K18" s="3"/>
      <c r="L18" s="3">
        <f t="shared" si="0"/>
        <v>-9969.65</v>
      </c>
      <c r="M18" s="3"/>
      <c r="N18" s="20">
        <f t="shared" si="1"/>
        <v>0</v>
      </c>
      <c r="O18" s="12"/>
      <c r="P18" s="3">
        <f>-42331.37</f>
        <v>-42331.37</v>
      </c>
      <c r="Q18" s="3"/>
      <c r="R18" s="20"/>
      <c r="S18" s="3"/>
      <c r="T18" s="3"/>
      <c r="U18" s="3"/>
      <c r="V18" s="20"/>
      <c r="W18" s="3"/>
      <c r="X18" s="3">
        <f t="shared" si="2"/>
        <v>-42331.37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","4500"," - ","SALES DISCOUNT")</f>
        <v xml:space="preserve">          4500 - SALES DISCOUNT</v>
      </c>
      <c r="C19" s="12"/>
      <c r="D19" s="3">
        <f>-14838.59</f>
        <v>-14838.59</v>
      </c>
      <c r="E19" s="3"/>
      <c r="F19" s="20"/>
      <c r="G19" s="3"/>
      <c r="H19" s="3"/>
      <c r="I19" s="3"/>
      <c r="J19" s="20"/>
      <c r="K19" s="3"/>
      <c r="L19" s="3">
        <f t="shared" si="0"/>
        <v>-14838.59</v>
      </c>
      <c r="M19" s="3"/>
      <c r="N19" s="20">
        <f t="shared" si="1"/>
        <v>0</v>
      </c>
      <c r="O19" s="12"/>
      <c r="P19" s="3">
        <f>-107904.15</f>
        <v>-107904.15</v>
      </c>
      <c r="Q19" s="3"/>
      <c r="R19" s="20"/>
      <c r="S19" s="3"/>
      <c r="T19" s="3"/>
      <c r="U19" s="3"/>
      <c r="V19" s="20"/>
      <c r="W19" s="3"/>
      <c r="X19" s="3">
        <f t="shared" si="2"/>
        <v>-107904.15</v>
      </c>
      <c r="Y19" s="3"/>
      <c r="Z19" s="20">
        <f t="shared" si="3"/>
        <v>0</v>
      </c>
    </row>
    <row r="20" spans="1:26" ht="15" customHeight="1" x14ac:dyDescent="0.3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3">
      <c r="A21" s="11"/>
      <c r="B21" s="28" t="s">
        <v>288</v>
      </c>
      <c r="C21" s="11"/>
      <c r="D21" s="5">
        <f>SUM(OSRRefD16x_0)</f>
        <v>671605.71000000008</v>
      </c>
      <c r="E21" s="5"/>
      <c r="F21" s="13">
        <f t="shared" ref="F21:F54" si="4">IF(D$12=0,0,D21/D$12)</f>
        <v>0.56273079537869575</v>
      </c>
      <c r="G21" s="5"/>
      <c r="H21" s="5">
        <f>SUM(OSRRefH16x_0)</f>
        <v>341473</v>
      </c>
      <c r="I21" s="5"/>
      <c r="J21" s="13">
        <f t="shared" ref="J21:J54" si="5">IF(H$12=0,0,H21/H$12)</f>
        <v>0.61045779910328013</v>
      </c>
      <c r="K21" s="5"/>
      <c r="L21" s="5">
        <f t="shared" ref="L21:L54" si="6">+D21-H21</f>
        <v>330132.71000000008</v>
      </c>
      <c r="M21" s="5"/>
      <c r="N21" s="13">
        <f t="shared" ref="N21:N54" si="7">IF(H21=0,0,L21/H21)</f>
        <v>0.96679008296409985</v>
      </c>
      <c r="O21" s="11"/>
      <c r="P21" s="5">
        <f>SUM(OSRRefP16x_0)</f>
        <v>5467913.3799999999</v>
      </c>
      <c r="Q21" s="5"/>
      <c r="R21" s="13">
        <f t="shared" ref="R21:R54" si="8">IF(P$12=0,0,P21/P$12)</f>
        <v>0.62617955694194893</v>
      </c>
      <c r="S21" s="5"/>
      <c r="T21" s="5">
        <f>SUM(OSRRefT16x_0)</f>
        <v>6625036</v>
      </c>
      <c r="U21" s="5"/>
      <c r="V21" s="13">
        <f t="shared" ref="V21:V54" si="9">IF(T$12=0,0,T21/T$12)</f>
        <v>0.66240980277192751</v>
      </c>
      <c r="W21" s="5"/>
      <c r="X21" s="5">
        <f t="shared" ref="X21:X54" si="10">+P21-T21</f>
        <v>-1157122.6200000001</v>
      </c>
      <c r="Y21" s="5"/>
      <c r="Z21" s="13">
        <f t="shared" ref="Z21:Z54" si="11">IF(T21=0,0,X21/T21)</f>
        <v>-0.1746590690224174</v>
      </c>
    </row>
    <row r="22" spans="1:26" s="70" customFormat="1" ht="15" hidden="1" customHeight="1" outlineLevel="1" x14ac:dyDescent="0.3">
      <c r="A22" s="42"/>
      <c r="B22" s="12" t="str">
        <f>CONCATENATE("          ","5000"," - ","PURCHASES @ COST")</f>
        <v xml:space="preserve">          5000 - PURCHASES @ COST</v>
      </c>
      <c r="C22" s="12"/>
      <c r="D22" s="3">
        <v>364978.26</v>
      </c>
      <c r="E22" s="3"/>
      <c r="F22" s="20">
        <f t="shared" si="4"/>
        <v>0.30581113812408234</v>
      </c>
      <c r="G22" s="3"/>
      <c r="H22" s="3">
        <v>341473</v>
      </c>
      <c r="I22" s="3"/>
      <c r="J22" s="20">
        <f t="shared" si="5"/>
        <v>0.61045779910328013</v>
      </c>
      <c r="K22" s="3"/>
      <c r="L22" s="3">
        <f t="shared" si="6"/>
        <v>23505.260000000009</v>
      </c>
      <c r="M22" s="3"/>
      <c r="N22" s="20">
        <f t="shared" si="7"/>
        <v>6.8834900563148504E-2</v>
      </c>
      <c r="O22" s="12"/>
      <c r="P22" s="3">
        <v>5442147.29</v>
      </c>
      <c r="Q22" s="3"/>
      <c r="R22" s="20">
        <f t="shared" si="8"/>
        <v>0.62322885203880618</v>
      </c>
      <c r="S22" s="3"/>
      <c r="T22" s="3">
        <v>6625036</v>
      </c>
      <c r="U22" s="3"/>
      <c r="V22" s="20">
        <f t="shared" si="9"/>
        <v>0.66240980277192751</v>
      </c>
      <c r="W22" s="3"/>
      <c r="X22" s="3">
        <f t="shared" si="10"/>
        <v>-1182888.71</v>
      </c>
      <c r="Y22" s="3"/>
      <c r="Z22" s="20">
        <f t="shared" si="11"/>
        <v>-0.17854826902072682</v>
      </c>
    </row>
    <row r="23" spans="1:26" s="70" customFormat="1" ht="15" hidden="1" customHeight="1" outlineLevel="1" x14ac:dyDescent="0.3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","5081"," - ","PURCHASES @ COST-ELECTRONICS")</f>
        <v xml:space="preserve">          5081 - PURCHASES @ COST-ELECTRONICS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","5082"," - ","PURCHASES @ COST-COMPUTER HARD")</f>
        <v xml:space="preserve">          5082 - PURCHASES @ COST-COMPUTER HARD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-110193.26</v>
      </c>
      <c r="Q37" s="3"/>
      <c r="R37" s="20">
        <f t="shared" si="8"/>
        <v>-1.2619213570056406E-2</v>
      </c>
      <c r="S37" s="3"/>
      <c r="T37" s="3"/>
      <c r="U37" s="3"/>
      <c r="V37" s="20">
        <f t="shared" si="9"/>
        <v>0</v>
      </c>
      <c r="W37" s="3"/>
      <c r="X37" s="3">
        <f t="shared" si="10"/>
        <v>-110193.26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","5083"," - ","PURCHASES @ COST-COMPUTER EQUI")</f>
        <v xml:space="preserve">          5083 - PURCHASES @ COST-COMPUTER EQUI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","5085"," - ","PURCHASES @ COST-SOFTWARE")</f>
        <v xml:space="preserve">          5085 - PURCHASES @ COST-SOFTWARE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","5086"," - ","PURCHASES @ COST-COMPUTER SUPP")</f>
        <v xml:space="preserve">          5086 - PURCHASES @ COST-COMPUTER SUPP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","5200"," - ","PURCHASES OFFSET")</f>
        <v xml:space="preserve">          5200 - PURCHASES OFFSET</v>
      </c>
      <c r="C41" s="12"/>
      <c r="D41" s="3">
        <v>-422991.04</v>
      </c>
      <c r="E41" s="3"/>
      <c r="F41" s="20">
        <f t="shared" si="4"/>
        <v>-0.35441938749636548</v>
      </c>
      <c r="G41" s="3"/>
      <c r="H41" s="3"/>
      <c r="I41" s="3"/>
      <c r="J41" s="20">
        <f t="shared" si="5"/>
        <v>0</v>
      </c>
      <c r="K41" s="3"/>
      <c r="L41" s="3">
        <f t="shared" si="6"/>
        <v>-422991.04</v>
      </c>
      <c r="M41" s="3"/>
      <c r="N41" s="20">
        <f t="shared" si="7"/>
        <v>0</v>
      </c>
      <c r="O41" s="12"/>
      <c r="P41" s="3">
        <v>-5326326.78</v>
      </c>
      <c r="Q41" s="3"/>
      <c r="R41" s="20">
        <f t="shared" si="8"/>
        <v>-0.60996521185352759</v>
      </c>
      <c r="S41" s="3"/>
      <c r="T41" s="3"/>
      <c r="U41" s="3"/>
      <c r="V41" s="20">
        <f t="shared" si="9"/>
        <v>0</v>
      </c>
      <c r="W41" s="3"/>
      <c r="X41" s="3">
        <f t="shared" si="10"/>
        <v>-5326326.78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","5300"," - ","COG$ OFFSET")</f>
        <v xml:space="preserve">          5300 - COG$ OFFSET</v>
      </c>
      <c r="C42" s="12"/>
      <c r="D42" s="3">
        <v>694429.14</v>
      </c>
      <c r="E42" s="3"/>
      <c r="F42" s="20">
        <f t="shared" si="4"/>
        <v>0.58185428811548312</v>
      </c>
      <c r="G42" s="3"/>
      <c r="H42" s="3"/>
      <c r="I42" s="3"/>
      <c r="J42" s="20">
        <f t="shared" si="5"/>
        <v>0</v>
      </c>
      <c r="K42" s="3"/>
      <c r="L42" s="3">
        <f t="shared" si="6"/>
        <v>694429.14</v>
      </c>
      <c r="M42" s="3"/>
      <c r="N42" s="20">
        <f t="shared" si="7"/>
        <v>0</v>
      </c>
      <c r="O42" s="12"/>
      <c r="P42" s="3">
        <v>5278808.82</v>
      </c>
      <c r="Q42" s="3"/>
      <c r="R42" s="20">
        <f t="shared" si="8"/>
        <v>0.60452350620244333</v>
      </c>
      <c r="S42" s="3"/>
      <c r="T42" s="3"/>
      <c r="U42" s="3"/>
      <c r="V42" s="20">
        <f t="shared" si="9"/>
        <v>0</v>
      </c>
      <c r="W42" s="3"/>
      <c r="X42" s="3">
        <f t="shared" si="10"/>
        <v>5278808.82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","5500"," - ","FREIGHT-IN")</f>
        <v xml:space="preserve">          5500 - FREIGHT-IN</v>
      </c>
      <c r="C43" s="12"/>
      <c r="D43" s="3">
        <v>35189.35</v>
      </c>
      <c r="E43" s="3"/>
      <c r="F43" s="20">
        <f t="shared" si="4"/>
        <v>2.9484756635495706E-2</v>
      </c>
      <c r="G43" s="3"/>
      <c r="H43" s="3"/>
      <c r="I43" s="3"/>
      <c r="J43" s="20">
        <f t="shared" si="5"/>
        <v>0</v>
      </c>
      <c r="K43" s="3"/>
      <c r="L43" s="3">
        <f t="shared" si="6"/>
        <v>35189.35</v>
      </c>
      <c r="M43" s="3"/>
      <c r="N43" s="20">
        <f t="shared" si="7"/>
        <v>0</v>
      </c>
      <c r="O43" s="12"/>
      <c r="P43" s="3">
        <v>183477.31</v>
      </c>
      <c r="Q43" s="3"/>
      <c r="R43" s="20">
        <f t="shared" si="8"/>
        <v>2.1011624124283517E-2</v>
      </c>
      <c r="S43" s="3"/>
      <c r="T43" s="3"/>
      <c r="U43" s="3"/>
      <c r="V43" s="20">
        <f t="shared" si="9"/>
        <v>0</v>
      </c>
      <c r="W43" s="3"/>
      <c r="X43" s="3">
        <f t="shared" si="10"/>
        <v>183477.31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","5501"," - ","FREIGHT-IN-NEW TEXT")</f>
        <v xml:space="preserve">          5501 - FREIGHT-IN-NEW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","5502"," - ","FREIGHT-IN-USED TEXT")</f>
        <v xml:space="preserve">          5502 - FREIGHT-IN-USED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","5518"," - ","FREIGHT-IN-STUDY GUIDES")</f>
        <v xml:space="preserve">          5518 - FREIGHT-IN-STUDY GUIDES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","5527"," - ","FREIGHT-IN-SCHOOL SUPPLIES")</f>
        <v xml:space="preserve">          5527 - FREIGHT-IN-SCHOOL SUPPLIES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","5528"," - ","FREIGHT-IN-ART/TECH")</f>
        <v xml:space="preserve">          5528 - FREIGHT-IN-ART/TECH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","5540"," - ","FREIGHT-IN-LOGO CLOTHING")</f>
        <v xml:space="preserve">          5540 - FREIGHT-IN-LOGO CLOTHING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","5541"," - ","FREIGHT-IN-LOGO GIFTS")</f>
        <v xml:space="preserve">          5541 - FREIGHT-IN-LOGO GIFTS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","5542"," - ","FREIGHT-IN-EVERYDAY GIFTS")</f>
        <v xml:space="preserve">          5542 - FREIGHT-IN-EVERYDAY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","5544"," - ","FREIGHT-IN-ACCESSORIES")</f>
        <v xml:space="preserve">          5544 - FREIGHT-IN-ACCESSORIES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","5545"," - ","FREIGHT-IN-SPECIAL ORDERS")</f>
        <v xml:space="preserve">          5545 - FREIGHT-IN-SPECIAL ORDERS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","5583"," - ","FREIGHT-IN-COMPUTER EQUIPMENT")</f>
        <v xml:space="preserve">          5583 - FREIGHT-IN-COMPUTER EQUIPMENT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3">
      <c r="A56" s="11"/>
      <c r="B56" s="27" t="s">
        <v>289</v>
      </c>
      <c r="C56" s="27"/>
      <c r="D56" s="21">
        <f>D12-D21</f>
        <v>521870.30999999971</v>
      </c>
      <c r="E56" s="15"/>
      <c r="F56" s="23">
        <f>IF(D$12=0,0,D56/D$12)</f>
        <v>0.43726920462130425</v>
      </c>
      <c r="G56" s="15"/>
      <c r="H56" s="21">
        <f>H12-H21</f>
        <v>217899</v>
      </c>
      <c r="I56" s="15"/>
      <c r="J56" s="23">
        <f>IF(H$12=0,0,H56/H$12)</f>
        <v>0.38954220089671987</v>
      </c>
      <c r="K56" s="17"/>
      <c r="L56" s="21">
        <f>+D56-H56</f>
        <v>303971.30999999971</v>
      </c>
      <c r="M56" s="17"/>
      <c r="N56" s="23">
        <f>IF(H56=0,0,L56/H56)</f>
        <v>1.3950101193672284</v>
      </c>
      <c r="O56" s="28"/>
      <c r="P56" s="21">
        <f>P12-P21</f>
        <v>3264267.8600000022</v>
      </c>
      <c r="Q56" s="15"/>
      <c r="R56" s="23">
        <f>IF(P$12=0,0,P56/P$12)</f>
        <v>0.37382044305805101</v>
      </c>
      <c r="S56" s="15"/>
      <c r="T56" s="21">
        <f>T12-T21</f>
        <v>3376380</v>
      </c>
      <c r="U56" s="15"/>
      <c r="V56" s="23">
        <f>IF(T$12=0,0,T56/T$12)</f>
        <v>0.33759019722807249</v>
      </c>
      <c r="W56" s="17"/>
      <c r="X56" s="21">
        <f>+P56-T56</f>
        <v>-112112.1399999978</v>
      </c>
      <c r="Y56" s="17"/>
      <c r="Z56" s="23">
        <f>IF(T56=0,0,X56/T56)</f>
        <v>-3.3204834763858868E-2</v>
      </c>
    </row>
    <row r="57" spans="1:26" ht="15" customHeight="1" x14ac:dyDescent="0.3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3">
      <c r="A58" s="11"/>
      <c r="B58" s="28" t="s">
        <v>290</v>
      </c>
      <c r="C58" s="11"/>
      <c r="D58" s="22" cm="1">
        <f t="array" ref="D58">SUM(OSRRefD22x_0)</f>
        <v>379832.06</v>
      </c>
      <c r="E58" s="22"/>
      <c r="F58" s="33">
        <f t="shared" ref="F58:F89" si="12">IF(D$12=0,0,D58/D$12)</f>
        <v>0.31825696841399465</v>
      </c>
      <c r="G58" s="22"/>
      <c r="H58" s="22" cm="1">
        <f t="array" ref="H58">SUM(OSRRefH22x_0)</f>
        <v>344535.79096984386</v>
      </c>
      <c r="I58" s="22"/>
      <c r="J58" s="33">
        <f t="shared" ref="J58:J89" si="13">IF(H$12=0,0,H58/H$12)</f>
        <v>0.61593320897335557</v>
      </c>
      <c r="K58" s="5"/>
      <c r="L58" s="22">
        <f t="shared" ref="L58:L89" si="14">+D58-H58</f>
        <v>35296.269030156138</v>
      </c>
      <c r="M58" s="5"/>
      <c r="N58" s="33">
        <f t="shared" ref="N58:N89" si="15">IF(H58=0,0,L58/H58)</f>
        <v>0.10244587051696324</v>
      </c>
      <c r="O58" s="11"/>
      <c r="P58" s="22" cm="1">
        <f t="array" ref="P58">SUM(OSRRefP22x_0)</f>
        <v>3366553.1899999995</v>
      </c>
      <c r="Q58" s="22"/>
      <c r="R58" s="33">
        <f t="shared" ref="R58:R89" si="16">IF(P$12=0,0,P58/P$12)</f>
        <v>0.38553404899323857</v>
      </c>
      <c r="S58" s="22"/>
      <c r="T58" s="22" cm="1">
        <f t="array" ref="T58">SUM(OSRRefT22x_0)</f>
        <v>3547263.6293027187</v>
      </c>
      <c r="U58" s="22"/>
      <c r="V58" s="33">
        <f t="shared" ref="V58:V89" si="17">IF(T$12=0,0,T58/T$12)</f>
        <v>0.35467614078873616</v>
      </c>
      <c r="W58" s="5"/>
      <c r="X58" s="22">
        <f t="shared" ref="X58:X89" si="18">+P58-T58</f>
        <v>-180710.4393027192</v>
      </c>
      <c r="Y58" s="5"/>
      <c r="Z58" s="33">
        <f t="shared" ref="Z58:Z89" si="19">IF(T58=0,0,X58/T58)</f>
        <v>-5.0943616879764085E-2</v>
      </c>
    </row>
    <row r="59" spans="1:26" s="69" customFormat="1" ht="15" customHeight="1" outlineLevel="1" collapsed="1" x14ac:dyDescent="0.3">
      <c r="A59" s="25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54513.76999999999</v>
      </c>
      <c r="E59" s="2"/>
      <c r="F59" s="6">
        <f t="shared" si="12"/>
        <v>4.5676468639897765E-2</v>
      </c>
      <c r="G59" s="2"/>
      <c r="H59" s="2">
        <f>SUM(OSRRefH22_0x_0)</f>
        <v>53525.96810269967</v>
      </c>
      <c r="I59" s="2"/>
      <c r="J59" s="6">
        <f t="shared" si="13"/>
        <v>9.5689394718898466E-2</v>
      </c>
      <c r="K59" s="2"/>
      <c r="L59" s="2">
        <f t="shared" si="14"/>
        <v>987.80189730031998</v>
      </c>
      <c r="M59" s="2"/>
      <c r="N59" s="6">
        <f t="shared" si="15"/>
        <v>1.8454629263407914E-2</v>
      </c>
      <c r="O59" s="14"/>
      <c r="P59" s="2">
        <f>SUM(OSRRefP22_0x_0)</f>
        <v>499785.22000000003</v>
      </c>
      <c r="Q59" s="2"/>
      <c r="R59" s="6">
        <f t="shared" si="16"/>
        <v>5.7234865638221673E-2</v>
      </c>
      <c r="S59" s="2"/>
      <c r="T59" s="2">
        <f>SUM(OSRRefT22_0x_0)</f>
        <v>511971.45674338815</v>
      </c>
      <c r="U59" s="2"/>
      <c r="V59" s="6">
        <f t="shared" si="17"/>
        <v>5.1189897184897436E-2</v>
      </c>
      <c r="W59" s="2"/>
      <c r="X59" s="2">
        <f t="shared" si="18"/>
        <v>-12186.236743388115</v>
      </c>
      <c r="Y59" s="2"/>
      <c r="Z59" s="6">
        <f t="shared" si="19"/>
        <v>-2.3802570598181097E-2</v>
      </c>
    </row>
    <row r="60" spans="1:26" s="70" customFormat="1" ht="15" hidden="1" customHeight="1" outlineLevel="2" x14ac:dyDescent="0.3">
      <c r="A60" s="26"/>
      <c r="B60" s="12" t="str">
        <f>CONCATENATE("          ","6111"," - ","F.I.C.A.")</f>
        <v xml:space="preserve">          6111 - F.I.C.A.</v>
      </c>
      <c r="C60" s="12"/>
      <c r="D60" s="7">
        <v>10615.91</v>
      </c>
      <c r="E60" s="3"/>
      <c r="F60" s="8">
        <f t="shared" si="12"/>
        <v>8.894950398752044E-3</v>
      </c>
      <c r="G60" s="3"/>
      <c r="H60" s="7">
        <v>11783.9869668026</v>
      </c>
      <c r="I60" s="3"/>
      <c r="J60" s="8">
        <f t="shared" si="13"/>
        <v>2.1066458397636278E-2</v>
      </c>
      <c r="K60" s="3"/>
      <c r="L60" s="7">
        <f t="shared" si="14"/>
        <v>-1168.0769668026005</v>
      </c>
      <c r="M60" s="3"/>
      <c r="N60" s="8">
        <f t="shared" si="15"/>
        <v>-9.9124088484929804E-2</v>
      </c>
      <c r="O60" s="12"/>
      <c r="P60" s="7">
        <v>93287.679999999993</v>
      </c>
      <c r="Q60" s="3"/>
      <c r="R60" s="8">
        <f t="shared" si="16"/>
        <v>1.0683204738430277E-2</v>
      </c>
      <c r="S60" s="3"/>
      <c r="T60" s="7">
        <v>107699.40236315499</v>
      </c>
      <c r="U60" s="3"/>
      <c r="V60" s="8">
        <f t="shared" si="17"/>
        <v>1.0768415428690796E-2</v>
      </c>
      <c r="W60" s="3"/>
      <c r="X60" s="7">
        <f t="shared" si="18"/>
        <v>-14411.722363155</v>
      </c>
      <c r="Y60" s="3"/>
      <c r="Z60" s="8">
        <f t="shared" si="19"/>
        <v>-0.1338143206640986</v>
      </c>
    </row>
    <row r="61" spans="1:26" s="70" customFormat="1" ht="15" hidden="1" customHeight="1" outlineLevel="2" x14ac:dyDescent="0.3">
      <c r="A61" s="26"/>
      <c r="B61" s="12" t="str">
        <f>CONCATENATE("          ","6112"," - ","COMPENSATION INSURANCE")</f>
        <v xml:space="preserve">          6112 - COMPENSATION INSURANCE</v>
      </c>
      <c r="C61" s="12"/>
      <c r="D61" s="7">
        <v>2414.25</v>
      </c>
      <c r="E61" s="3"/>
      <c r="F61" s="8">
        <f t="shared" si="12"/>
        <v>2.0228726505958626E-3</v>
      </c>
      <c r="G61" s="3"/>
      <c r="H61" s="7">
        <v>3092.8717018500001</v>
      </c>
      <c r="I61" s="3"/>
      <c r="J61" s="8">
        <f t="shared" si="13"/>
        <v>5.5291857687728386E-3</v>
      </c>
      <c r="K61" s="3"/>
      <c r="L61" s="7">
        <f t="shared" si="14"/>
        <v>-678.62170185000014</v>
      </c>
      <c r="M61" s="3"/>
      <c r="N61" s="8">
        <f t="shared" si="15"/>
        <v>-0.21941475989582199</v>
      </c>
      <c r="O61" s="12"/>
      <c r="P61" s="7">
        <v>26036.98</v>
      </c>
      <c r="Q61" s="3"/>
      <c r="R61" s="8">
        <f t="shared" si="16"/>
        <v>2.9817269344721013E-3</v>
      </c>
      <c r="S61" s="3"/>
      <c r="T61" s="7">
        <v>30345.873934679999</v>
      </c>
      <c r="U61" s="3"/>
      <c r="V61" s="8">
        <f t="shared" si="17"/>
        <v>3.0341577567296468E-3</v>
      </c>
      <c r="W61" s="3"/>
      <c r="X61" s="7">
        <f t="shared" si="18"/>
        <v>-4308.8939346799998</v>
      </c>
      <c r="Y61" s="3"/>
      <c r="Z61" s="8">
        <f t="shared" si="19"/>
        <v>-0.14199274484415791</v>
      </c>
    </row>
    <row r="62" spans="1:26" s="70" customFormat="1" ht="15" hidden="1" customHeight="1" outlineLevel="2" x14ac:dyDescent="0.3">
      <c r="A62" s="26"/>
      <c r="B62" s="12" t="str">
        <f>CONCATENATE("          ","6113"," - ","GROUP INSURANCE")</f>
        <v xml:space="preserve">          6113 - GROUP INSURANCE</v>
      </c>
      <c r="C62" s="12"/>
      <c r="D62" s="7">
        <v>15795.45</v>
      </c>
      <c r="E62" s="3"/>
      <c r="F62" s="8">
        <f t="shared" si="12"/>
        <v>1.3234828128343964E-2</v>
      </c>
      <c r="G62" s="3"/>
      <c r="H62" s="7">
        <v>17880.6538461538</v>
      </c>
      <c r="I62" s="3"/>
      <c r="J62" s="8">
        <f t="shared" si="13"/>
        <v>3.1965586132580465E-2</v>
      </c>
      <c r="K62" s="3"/>
      <c r="L62" s="7">
        <f t="shared" si="14"/>
        <v>-2085.2038461537995</v>
      </c>
      <c r="M62" s="3"/>
      <c r="N62" s="8">
        <f t="shared" si="15"/>
        <v>-0.11661787449692927</v>
      </c>
      <c r="O62" s="12"/>
      <c r="P62" s="7">
        <v>174453.57</v>
      </c>
      <c r="Q62" s="3"/>
      <c r="R62" s="8">
        <f t="shared" si="16"/>
        <v>1.9978235128798125E-2</v>
      </c>
      <c r="S62" s="3"/>
      <c r="T62" s="7">
        <v>176421.65384615399</v>
      </c>
      <c r="U62" s="3"/>
      <c r="V62" s="8">
        <f t="shared" si="17"/>
        <v>1.7639667607682152E-2</v>
      </c>
      <c r="W62" s="3"/>
      <c r="X62" s="7">
        <f t="shared" si="18"/>
        <v>-1968.0838461539824</v>
      </c>
      <c r="Y62" s="3"/>
      <c r="Z62" s="8">
        <f t="shared" si="19"/>
        <v>-1.1155568510145712E-2</v>
      </c>
    </row>
    <row r="63" spans="1:26" s="70" customFormat="1" ht="15" hidden="1" customHeight="1" outlineLevel="2" x14ac:dyDescent="0.3">
      <c r="A63" s="26"/>
      <c r="B63" s="12" t="str">
        <f>CONCATENATE("          ","6114"," - ","STATE UNEMPLOYMENT INSURANCE")</f>
        <v xml:space="preserve">          6114 - STATE UNEMPLOYMENT INSURANCE</v>
      </c>
      <c r="C63" s="12"/>
      <c r="D63" s="7">
        <v>433.28</v>
      </c>
      <c r="E63" s="3"/>
      <c r="F63" s="8">
        <f t="shared" si="12"/>
        <v>3.6304039020406965E-4</v>
      </c>
      <c r="G63" s="3"/>
      <c r="H63" s="7">
        <v>416.34811371057702</v>
      </c>
      <c r="I63" s="3"/>
      <c r="J63" s="8">
        <f t="shared" si="13"/>
        <v>7.4431346887326685E-4</v>
      </c>
      <c r="K63" s="3"/>
      <c r="L63" s="7">
        <f t="shared" si="14"/>
        <v>16.931886289422948</v>
      </c>
      <c r="M63" s="3"/>
      <c r="N63" s="8">
        <f t="shared" si="15"/>
        <v>4.0667618590901296E-2</v>
      </c>
      <c r="O63" s="12"/>
      <c r="P63" s="7">
        <v>4689.46</v>
      </c>
      <c r="Q63" s="3"/>
      <c r="R63" s="8">
        <f t="shared" si="16"/>
        <v>5.3703191346037601E-4</v>
      </c>
      <c r="S63" s="3"/>
      <c r="T63" s="7">
        <v>4085.02149120692</v>
      </c>
      <c r="U63" s="3"/>
      <c r="V63" s="8">
        <f t="shared" si="17"/>
        <v>4.0844431340591374E-4</v>
      </c>
      <c r="W63" s="3"/>
      <c r="X63" s="7">
        <f t="shared" si="18"/>
        <v>604.43850879308002</v>
      </c>
      <c r="Y63" s="3"/>
      <c r="Z63" s="8">
        <f t="shared" si="19"/>
        <v>0.14796458478716562</v>
      </c>
    </row>
    <row r="64" spans="1:26" s="70" customFormat="1" ht="15" hidden="1" customHeight="1" outlineLevel="2" x14ac:dyDescent="0.3">
      <c r="A64" s="26"/>
      <c r="B64" s="12" t="str">
        <f>CONCATENATE("          ","6115"," - ","P.E.R.S.")</f>
        <v xml:space="preserve">          6115 - P.E.R.S.</v>
      </c>
      <c r="C64" s="12"/>
      <c r="D64" s="7">
        <v>7232.4</v>
      </c>
      <c r="E64" s="3"/>
      <c r="F64" s="8">
        <f t="shared" si="12"/>
        <v>6.0599458043572594E-3</v>
      </c>
      <c r="G64" s="3"/>
      <c r="H64" s="7">
        <v>5522.20547148077</v>
      </c>
      <c r="I64" s="3"/>
      <c r="J64" s="8">
        <f t="shared" si="13"/>
        <v>9.8721521125132647E-3</v>
      </c>
      <c r="K64" s="3"/>
      <c r="L64" s="7">
        <f t="shared" si="14"/>
        <v>1710.1945285192296</v>
      </c>
      <c r="M64" s="3"/>
      <c r="N64" s="8">
        <f t="shared" si="15"/>
        <v>0.3096941135840503</v>
      </c>
      <c r="O64" s="12"/>
      <c r="P64" s="7">
        <v>68520.28</v>
      </c>
      <c r="Q64" s="3"/>
      <c r="R64" s="8">
        <f t="shared" si="16"/>
        <v>7.8468687395224033E-3</v>
      </c>
      <c r="S64" s="3"/>
      <c r="T64" s="7">
        <v>50413.001610569198</v>
      </c>
      <c r="U64" s="3"/>
      <c r="V64" s="8">
        <f t="shared" si="17"/>
        <v>5.0405864140206941E-3</v>
      </c>
      <c r="W64" s="3"/>
      <c r="X64" s="7">
        <f t="shared" si="18"/>
        <v>18107.278389430801</v>
      </c>
      <c r="Y64" s="3"/>
      <c r="Z64" s="8">
        <f t="shared" si="19"/>
        <v>0.35917873982799253</v>
      </c>
    </row>
    <row r="65" spans="1:26" s="70" customFormat="1" ht="15" hidden="1" customHeight="1" outlineLevel="2" x14ac:dyDescent="0.3">
      <c r="A65" s="26"/>
      <c r="B65" s="12" t="str">
        <f>CONCATENATE("          ","6116"," - ","EDUCATIONAL BENEFITS")</f>
        <v xml:space="preserve">          6116 - EDUCATIONAL BENEFITS</v>
      </c>
      <c r="C65" s="12"/>
      <c r="D65" s="7"/>
      <c r="E65" s="3"/>
      <c r="F65" s="8">
        <f t="shared" si="12"/>
        <v>0</v>
      </c>
      <c r="G65" s="3"/>
      <c r="H65" s="7">
        <v>0</v>
      </c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0</v>
      </c>
      <c r="U65" s="3"/>
      <c r="V65" s="8">
        <f t="shared" si="17"/>
        <v>0</v>
      </c>
      <c r="W65" s="3"/>
      <c r="X65" s="7">
        <f t="shared" si="18"/>
        <v>0</v>
      </c>
      <c r="Y65" s="3"/>
      <c r="Z65" s="8">
        <f t="shared" si="19"/>
        <v>0</v>
      </c>
    </row>
    <row r="66" spans="1:26" s="70" customFormat="1" ht="15" hidden="1" customHeight="1" outlineLevel="2" x14ac:dyDescent="0.3">
      <c r="A66" s="26"/>
      <c r="B66" s="12" t="str">
        <f>CONCATENATE("          ","6117"," - ","RETIREMENT STAFF HOURLY")</f>
        <v xml:space="preserve">          6117 - RETIREMENT STAFF HOURLY</v>
      </c>
      <c r="C66" s="12"/>
      <c r="D66" s="7">
        <v>893.02</v>
      </c>
      <c r="E66" s="3"/>
      <c r="F66" s="8">
        <f t="shared" si="12"/>
        <v>7.4825131383871469E-4</v>
      </c>
      <c r="G66" s="3"/>
      <c r="H66" s="7"/>
      <c r="I66" s="3"/>
      <c r="J66" s="8">
        <f t="shared" si="13"/>
        <v>0</v>
      </c>
      <c r="K66" s="3"/>
      <c r="L66" s="7">
        <f t="shared" si="14"/>
        <v>893.02</v>
      </c>
      <c r="M66" s="3"/>
      <c r="N66" s="8">
        <f t="shared" si="15"/>
        <v>0</v>
      </c>
      <c r="O66" s="12"/>
      <c r="P66" s="7">
        <v>7035.34</v>
      </c>
      <c r="Q66" s="3"/>
      <c r="R66" s="8">
        <f t="shared" si="16"/>
        <v>8.0567956695319328E-4</v>
      </c>
      <c r="S66" s="3"/>
      <c r="T66" s="7"/>
      <c r="U66" s="3"/>
      <c r="V66" s="8">
        <f t="shared" si="17"/>
        <v>0</v>
      </c>
      <c r="W66" s="3"/>
      <c r="X66" s="7">
        <f t="shared" si="18"/>
        <v>7035.34</v>
      </c>
      <c r="Y66" s="3"/>
      <c r="Z66" s="8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","6118"," - ","VACATION")</f>
        <v xml:space="preserve">          6118 - VACATION</v>
      </c>
      <c r="C67" s="12"/>
      <c r="D67" s="7">
        <v>7921.38</v>
      </c>
      <c r="E67" s="3"/>
      <c r="F67" s="8">
        <f t="shared" si="12"/>
        <v>6.6372343199656422E-3</v>
      </c>
      <c r="G67" s="3"/>
      <c r="H67" s="7">
        <v>4965.59355333654</v>
      </c>
      <c r="I67" s="3"/>
      <c r="J67" s="8">
        <f t="shared" si="13"/>
        <v>8.8770863635229142E-3</v>
      </c>
      <c r="K67" s="3"/>
      <c r="L67" s="7">
        <f t="shared" si="14"/>
        <v>2955.7864466634601</v>
      </c>
      <c r="M67" s="3"/>
      <c r="N67" s="8">
        <f t="shared" si="15"/>
        <v>0.59525340020577666</v>
      </c>
      <c r="O67" s="12"/>
      <c r="P67" s="7">
        <v>67259.350000000006</v>
      </c>
      <c r="Q67" s="3"/>
      <c r="R67" s="8">
        <f t="shared" si="16"/>
        <v>7.7024683926509973E-3</v>
      </c>
      <c r="S67" s="3"/>
      <c r="T67" s="7">
        <v>45810.704038592303</v>
      </c>
      <c r="U67" s="3"/>
      <c r="V67" s="8">
        <f t="shared" si="17"/>
        <v>4.5804218161300666E-3</v>
      </c>
      <c r="W67" s="3"/>
      <c r="X67" s="7">
        <f t="shared" si="18"/>
        <v>21448.645961407703</v>
      </c>
      <c r="Y67" s="3"/>
      <c r="Z67" s="8">
        <f t="shared" si="19"/>
        <v>0.46820162255831571</v>
      </c>
    </row>
    <row r="68" spans="1:26" s="70" customFormat="1" ht="15" hidden="1" customHeight="1" outlineLevel="2" x14ac:dyDescent="0.3">
      <c r="A68" s="26"/>
      <c r="B68" s="12" t="str">
        <f>CONCATENATE("          ","6119"," - ","SICK LEAVE")</f>
        <v xml:space="preserve">          6119 - SICK LEAVE</v>
      </c>
      <c r="C68" s="12"/>
      <c r="D68" s="7">
        <v>5856.95</v>
      </c>
      <c r="E68" s="3"/>
      <c r="F68" s="8">
        <f t="shared" si="12"/>
        <v>4.9074718736284292E-3</v>
      </c>
      <c r="G68" s="3"/>
      <c r="H68" s="7">
        <v>7239.3084493653896</v>
      </c>
      <c r="I68" s="3"/>
      <c r="J68" s="8">
        <f t="shared" si="13"/>
        <v>1.2941849876943053E-2</v>
      </c>
      <c r="K68" s="3"/>
      <c r="L68" s="7">
        <f t="shared" si="14"/>
        <v>-1382.3584493653898</v>
      </c>
      <c r="M68" s="3"/>
      <c r="N68" s="8">
        <f t="shared" si="15"/>
        <v>-0.19095172681674721</v>
      </c>
      <c r="O68" s="12"/>
      <c r="P68" s="7">
        <v>28089.24</v>
      </c>
      <c r="Q68" s="3"/>
      <c r="R68" s="8">
        <f t="shared" si="16"/>
        <v>3.216749541492567E-3</v>
      </c>
      <c r="S68" s="3"/>
      <c r="T68" s="7">
        <v>70070.799459030794</v>
      </c>
      <c r="U68" s="3"/>
      <c r="V68" s="8">
        <f t="shared" si="17"/>
        <v>7.0060878838587252E-3</v>
      </c>
      <c r="W68" s="3"/>
      <c r="X68" s="7">
        <f t="shared" si="18"/>
        <v>-41981.559459030788</v>
      </c>
      <c r="Y68" s="3"/>
      <c r="Z68" s="8">
        <f t="shared" si="19"/>
        <v>-0.59913059053331752</v>
      </c>
    </row>
    <row r="69" spans="1:26" s="70" customFormat="1" ht="15" hidden="1" customHeight="1" outlineLevel="2" x14ac:dyDescent="0.3">
      <c r="A69" s="26"/>
      <c r="B69" s="12" t="str">
        <f>CONCATENATE("          ","6156"," - ","EMPLOYEE MEALS")</f>
        <v xml:space="preserve">          6156 - EMPLOYEE MEALS</v>
      </c>
      <c r="C69" s="12"/>
      <c r="D69" s="7">
        <v>3351.13</v>
      </c>
      <c r="E69" s="3"/>
      <c r="F69" s="8">
        <f t="shared" si="12"/>
        <v>2.8078737602117891E-3</v>
      </c>
      <c r="G69" s="3"/>
      <c r="H69" s="7">
        <v>2625</v>
      </c>
      <c r="I69" s="3"/>
      <c r="J69" s="8">
        <f t="shared" si="13"/>
        <v>4.6927625980563922E-3</v>
      </c>
      <c r="K69" s="3"/>
      <c r="L69" s="7">
        <f t="shared" si="14"/>
        <v>726.13000000000011</v>
      </c>
      <c r="M69" s="3"/>
      <c r="N69" s="8">
        <f t="shared" si="15"/>
        <v>0.27662095238095241</v>
      </c>
      <c r="O69" s="12"/>
      <c r="P69" s="7">
        <v>30413.32</v>
      </c>
      <c r="Q69" s="3"/>
      <c r="R69" s="8">
        <f t="shared" si="16"/>
        <v>3.4829006824416294E-3</v>
      </c>
      <c r="S69" s="3"/>
      <c r="T69" s="7">
        <v>27125</v>
      </c>
      <c r="U69" s="3"/>
      <c r="V69" s="8">
        <f t="shared" si="17"/>
        <v>2.7121159643794437E-3</v>
      </c>
      <c r="W69" s="3"/>
      <c r="X69" s="7">
        <f t="shared" si="18"/>
        <v>3288.3199999999997</v>
      </c>
      <c r="Y69" s="3"/>
      <c r="Z69" s="8">
        <f t="shared" si="19"/>
        <v>0.12122838709677418</v>
      </c>
    </row>
    <row r="70" spans="1:26" s="69" customFormat="1" ht="15" customHeight="1" outlineLevel="1" collapsed="1" x14ac:dyDescent="0.3">
      <c r="A70" s="25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203683.69999999998</v>
      </c>
      <c r="E70" s="2"/>
      <c r="F70" s="6">
        <f t="shared" si="12"/>
        <v>0.17066425850768246</v>
      </c>
      <c r="G70" s="2"/>
      <c r="H70" s="2">
        <f>SUM(OSRRefH22_1x_0)</f>
        <v>189409.82286714422</v>
      </c>
      <c r="I70" s="2"/>
      <c r="J70" s="6">
        <f t="shared" si="13"/>
        <v>0.33861155522111264</v>
      </c>
      <c r="K70" s="2"/>
      <c r="L70" s="2">
        <f t="shared" si="14"/>
        <v>14273.877132855763</v>
      </c>
      <c r="M70" s="2"/>
      <c r="N70" s="6">
        <f t="shared" si="15"/>
        <v>7.5359751235646005E-2</v>
      </c>
      <c r="O70" s="14"/>
      <c r="P70" s="2">
        <f>SUM(OSRRefP22_1x_0)</f>
        <v>1796920.15</v>
      </c>
      <c r="Q70" s="2"/>
      <c r="R70" s="6">
        <f t="shared" si="16"/>
        <v>0.20578136213764608</v>
      </c>
      <c r="S70" s="2"/>
      <c r="T70" s="2">
        <f>SUM(OSRRefT22_1x_0)</f>
        <v>1865721.1725593307</v>
      </c>
      <c r="U70" s="2"/>
      <c r="V70" s="6">
        <f t="shared" si="17"/>
        <v>0.18654570238447543</v>
      </c>
      <c r="W70" s="2"/>
      <c r="X70" s="2">
        <f t="shared" si="18"/>
        <v>-68801.022559330799</v>
      </c>
      <c r="Y70" s="2"/>
      <c r="Z70" s="6">
        <f t="shared" si="19"/>
        <v>-3.687636907981913E-2</v>
      </c>
    </row>
    <row r="71" spans="1:26" s="70" customFormat="1" ht="15" hidden="1" customHeight="1" outlineLevel="2" x14ac:dyDescent="0.3">
      <c r="A71" s="26"/>
      <c r="B71" s="12" t="str">
        <f>CONCATENATE("          ","6001"," - ","ADMINISTRATIVE SALARIES")</f>
        <v xml:space="preserve">          6001 - ADMINISTRATIVE SALARIES</v>
      </c>
      <c r="C71" s="12"/>
      <c r="D71" s="7">
        <v>2749.47</v>
      </c>
      <c r="E71" s="3"/>
      <c r="F71" s="8">
        <f t="shared" si="12"/>
        <v>2.3037496807015866E-3</v>
      </c>
      <c r="G71" s="3"/>
      <c r="H71" s="7">
        <v>5174.7596153846198</v>
      </c>
      <c r="I71" s="3"/>
      <c r="J71" s="8">
        <f t="shared" si="13"/>
        <v>9.2510165245750942E-3</v>
      </c>
      <c r="K71" s="3"/>
      <c r="L71" s="7">
        <f t="shared" si="14"/>
        <v>-2425.28961538462</v>
      </c>
      <c r="M71" s="3"/>
      <c r="N71" s="8">
        <f t="shared" si="15"/>
        <v>-0.46867676870906355</v>
      </c>
      <c r="O71" s="12"/>
      <c r="P71" s="7">
        <v>47666.53</v>
      </c>
      <c r="Q71" s="3"/>
      <c r="R71" s="8">
        <f t="shared" si="16"/>
        <v>5.4587197276267235E-3</v>
      </c>
      <c r="S71" s="3"/>
      <c r="T71" s="7">
        <v>45537.884615384603</v>
      </c>
      <c r="U71" s="3"/>
      <c r="V71" s="8">
        <f t="shared" si="17"/>
        <v>4.5531437363853884E-3</v>
      </c>
      <c r="W71" s="3"/>
      <c r="X71" s="7">
        <f t="shared" si="18"/>
        <v>2128.6453846153963</v>
      </c>
      <c r="Y71" s="3"/>
      <c r="Z71" s="8">
        <f t="shared" si="19"/>
        <v>4.6744494229234594E-2</v>
      </c>
    </row>
    <row r="72" spans="1:26" s="70" customFormat="1" ht="15" hidden="1" customHeight="1" outlineLevel="2" x14ac:dyDescent="0.3">
      <c r="A72" s="26"/>
      <c r="B72" s="12" t="str">
        <f>CONCATENATE("          ","6002"," - ","STAFF SALARIES")</f>
        <v xml:space="preserve">          6002 - STAFF SALARIES</v>
      </c>
      <c r="C72" s="12"/>
      <c r="D72" s="7">
        <v>60588.65</v>
      </c>
      <c r="E72" s="3"/>
      <c r="F72" s="8">
        <f t="shared" si="12"/>
        <v>5.076654158497463E-2</v>
      </c>
      <c r="G72" s="3"/>
      <c r="H72" s="7">
        <v>52875.7939667596</v>
      </c>
      <c r="I72" s="3"/>
      <c r="J72" s="8">
        <f t="shared" si="13"/>
        <v>9.4527066007522004E-2</v>
      </c>
      <c r="K72" s="3"/>
      <c r="L72" s="7">
        <f t="shared" si="14"/>
        <v>7712.8560332404013</v>
      </c>
      <c r="M72" s="3"/>
      <c r="N72" s="8">
        <f t="shared" si="15"/>
        <v>0.14586742731634617</v>
      </c>
      <c r="O72" s="12"/>
      <c r="P72" s="7">
        <v>592454</v>
      </c>
      <c r="Q72" s="3"/>
      <c r="R72" s="8">
        <f t="shared" si="16"/>
        <v>6.7847194614572601E-2</v>
      </c>
      <c r="S72" s="3"/>
      <c r="T72" s="7">
        <v>483271.57344594598</v>
      </c>
      <c r="U72" s="3"/>
      <c r="V72" s="8">
        <f t="shared" si="17"/>
        <v>4.832031518796398E-2</v>
      </c>
      <c r="W72" s="3"/>
      <c r="X72" s="7">
        <f t="shared" si="18"/>
        <v>109182.42655405402</v>
      </c>
      <c r="Y72" s="3"/>
      <c r="Z72" s="8">
        <f t="shared" si="19"/>
        <v>0.22592354393107314</v>
      </c>
    </row>
    <row r="73" spans="1:26" s="70" customFormat="1" ht="15" hidden="1" customHeight="1" outlineLevel="2" x14ac:dyDescent="0.3">
      <c r="A73" s="26"/>
      <c r="B73" s="12" t="str">
        <f>CONCATENATE("          ","6003"," - ","STAFF HOURLY-9 MONTH")</f>
        <v xml:space="preserve">          6003 - STAFF HOURLY-9 MONTH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7">
        <v>43790.02</v>
      </c>
      <c r="E74" s="3"/>
      <c r="F74" s="8">
        <f t="shared" si="12"/>
        <v>3.6691160330142206E-2</v>
      </c>
      <c r="G74" s="3"/>
      <c r="H74" s="7">
        <v>48995.641960000001</v>
      </c>
      <c r="I74" s="3"/>
      <c r="J74" s="8">
        <f t="shared" si="13"/>
        <v>8.7590444212438237E-2</v>
      </c>
      <c r="K74" s="3"/>
      <c r="L74" s="7">
        <f t="shared" si="14"/>
        <v>-5205.621960000004</v>
      </c>
      <c r="M74" s="3"/>
      <c r="N74" s="8">
        <f t="shared" si="15"/>
        <v>-0.10624663238926167</v>
      </c>
      <c r="O74" s="12"/>
      <c r="P74" s="7">
        <v>279111.12</v>
      </c>
      <c r="Q74" s="3"/>
      <c r="R74" s="8">
        <f t="shared" si="16"/>
        <v>3.1963505145937619E-2</v>
      </c>
      <c r="S74" s="3"/>
      <c r="T74" s="7">
        <v>420605.98704799998</v>
      </c>
      <c r="U74" s="3"/>
      <c r="V74" s="8">
        <f t="shared" si="17"/>
        <v>4.2054643767242557E-2</v>
      </c>
      <c r="W74" s="3"/>
      <c r="X74" s="7">
        <f t="shared" si="18"/>
        <v>-141494.86704799999</v>
      </c>
      <c r="Y74" s="3"/>
      <c r="Z74" s="8">
        <f t="shared" si="19"/>
        <v>-0.33640716348588839</v>
      </c>
    </row>
    <row r="75" spans="1:26" s="70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7">
        <v>9261.32</v>
      </c>
      <c r="E75" s="3"/>
      <c r="F75" s="8">
        <f t="shared" si="12"/>
        <v>7.7599548250663645E-3</v>
      </c>
      <c r="G75" s="3"/>
      <c r="H75" s="7">
        <v>2396.66</v>
      </c>
      <c r="I75" s="3"/>
      <c r="J75" s="8">
        <f t="shared" si="13"/>
        <v>4.2845548221934595E-3</v>
      </c>
      <c r="K75" s="3"/>
      <c r="L75" s="7">
        <f t="shared" si="14"/>
        <v>6864.66</v>
      </c>
      <c r="M75" s="3"/>
      <c r="N75" s="8">
        <f t="shared" si="15"/>
        <v>2.8642610966928976</v>
      </c>
      <c r="O75" s="12"/>
      <c r="P75" s="7">
        <v>93413.51</v>
      </c>
      <c r="Q75" s="3"/>
      <c r="R75" s="8">
        <f t="shared" si="16"/>
        <v>1.0697614654640399E-2</v>
      </c>
      <c r="S75" s="3"/>
      <c r="T75" s="7">
        <v>31379</v>
      </c>
      <c r="U75" s="3"/>
      <c r="V75" s="8">
        <f t="shared" si="17"/>
        <v>3.1374557362677446E-3</v>
      </c>
      <c r="W75" s="3"/>
      <c r="X75" s="7">
        <f t="shared" si="18"/>
        <v>62034.509999999995</v>
      </c>
      <c r="Y75" s="3"/>
      <c r="Z75" s="8">
        <f t="shared" si="19"/>
        <v>1.9769434972433793</v>
      </c>
    </row>
    <row r="76" spans="1:26" s="70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7">
        <v>2482.0300000000002</v>
      </c>
      <c r="E76" s="3"/>
      <c r="F76" s="8">
        <f t="shared" si="12"/>
        <v>2.0796647426564972E-3</v>
      </c>
      <c r="G76" s="3"/>
      <c r="H76" s="7">
        <v>0</v>
      </c>
      <c r="I76" s="3"/>
      <c r="J76" s="8">
        <f t="shared" si="13"/>
        <v>0</v>
      </c>
      <c r="K76" s="3"/>
      <c r="L76" s="7">
        <f t="shared" si="14"/>
        <v>2482.0300000000002</v>
      </c>
      <c r="M76" s="3"/>
      <c r="N76" s="8">
        <f t="shared" si="15"/>
        <v>0</v>
      </c>
      <c r="O76" s="12"/>
      <c r="P76" s="7">
        <v>17834.14</v>
      </c>
      <c r="Q76" s="3"/>
      <c r="R76" s="8">
        <f t="shared" si="16"/>
        <v>2.0423465237191978E-3</v>
      </c>
      <c r="S76" s="3"/>
      <c r="T76" s="7">
        <v>0</v>
      </c>
      <c r="U76" s="3"/>
      <c r="V76" s="8">
        <f t="shared" si="17"/>
        <v>0</v>
      </c>
      <c r="W76" s="3"/>
      <c r="X76" s="7">
        <f t="shared" si="18"/>
        <v>17834.14</v>
      </c>
      <c r="Y76" s="3"/>
      <c r="Z76" s="8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7">
        <v>65954.17</v>
      </c>
      <c r="E77" s="3"/>
      <c r="F77" s="8">
        <f t="shared" si="12"/>
        <v>5.5262249843947439E-2</v>
      </c>
      <c r="G77" s="3"/>
      <c r="H77" s="7">
        <v>37849.415999999997</v>
      </c>
      <c r="I77" s="3"/>
      <c r="J77" s="8">
        <f t="shared" si="13"/>
        <v>6.7664123338315105E-2</v>
      </c>
      <c r="K77" s="3"/>
      <c r="L77" s="7">
        <f t="shared" si="14"/>
        <v>28104.754000000001</v>
      </c>
      <c r="M77" s="3"/>
      <c r="N77" s="8">
        <f t="shared" si="15"/>
        <v>0.74254128518125628</v>
      </c>
      <c r="O77" s="12"/>
      <c r="P77" s="7">
        <v>653314.41</v>
      </c>
      <c r="Q77" s="3"/>
      <c r="R77" s="8">
        <f t="shared" si="16"/>
        <v>7.4816863283520205E-2</v>
      </c>
      <c r="S77" s="3"/>
      <c r="T77" s="7">
        <v>375408.54599999997</v>
      </c>
      <c r="U77" s="3"/>
      <c r="V77" s="8">
        <f t="shared" si="17"/>
        <v>3.7535539567597226E-2</v>
      </c>
      <c r="W77" s="3"/>
      <c r="X77" s="7">
        <f t="shared" si="18"/>
        <v>277905.86400000006</v>
      </c>
      <c r="Y77" s="3"/>
      <c r="Z77" s="8">
        <f t="shared" si="19"/>
        <v>0.74027580608140997</v>
      </c>
    </row>
    <row r="78" spans="1:26" s="70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7">
        <v>18858.04</v>
      </c>
      <c r="E78" s="3"/>
      <c r="F78" s="8">
        <f t="shared" si="12"/>
        <v>1.5800937500193766E-2</v>
      </c>
      <c r="G78" s="3"/>
      <c r="H78" s="7">
        <v>42117.551325</v>
      </c>
      <c r="I78" s="3"/>
      <c r="J78" s="8">
        <f t="shared" si="13"/>
        <v>7.5294350316068737E-2</v>
      </c>
      <c r="K78" s="3"/>
      <c r="L78" s="7">
        <f t="shared" si="14"/>
        <v>-23259.511324999999</v>
      </c>
      <c r="M78" s="3"/>
      <c r="N78" s="8">
        <f t="shared" si="15"/>
        <v>-0.55225222248838801</v>
      </c>
      <c r="O78" s="12"/>
      <c r="P78" s="7">
        <v>113126.44</v>
      </c>
      <c r="Q78" s="3"/>
      <c r="R78" s="8">
        <f t="shared" si="16"/>
        <v>1.2955118187629368E-2</v>
      </c>
      <c r="S78" s="3"/>
      <c r="T78" s="7">
        <v>509518.18144999997</v>
      </c>
      <c r="U78" s="3"/>
      <c r="V78" s="8">
        <f t="shared" si="17"/>
        <v>5.0944604389018509E-2</v>
      </c>
      <c r="W78" s="3"/>
      <c r="X78" s="7">
        <f t="shared" si="18"/>
        <v>-396391.74144999997</v>
      </c>
      <c r="Y78" s="3"/>
      <c r="Z78" s="8">
        <f t="shared" si="19"/>
        <v>-0.777973693346797</v>
      </c>
    </row>
    <row r="79" spans="1:26" s="70" customFormat="1" ht="15" hidden="1" customHeight="1" outlineLevel="2" x14ac:dyDescent="0.3">
      <c r="A79" s="26"/>
      <c r="B79" s="12" t="str">
        <f>CONCATENATE("          ","6009"," - ","TEMPORARY-SEASONAL")</f>
        <v xml:space="preserve">          6009 - TEMPORARY-SEASONAL</v>
      </c>
      <c r="C79" s="12"/>
      <c r="D79" s="7"/>
      <c r="E79" s="3"/>
      <c r="F79" s="8">
        <f t="shared" si="12"/>
        <v>0</v>
      </c>
      <c r="G79" s="3"/>
      <c r="H79" s="7">
        <v>0</v>
      </c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0</v>
      </c>
      <c r="U79" s="3"/>
      <c r="V79" s="8">
        <f t="shared" si="17"/>
        <v>0</v>
      </c>
      <c r="W79" s="3"/>
      <c r="X79" s="7">
        <f t="shared" si="18"/>
        <v>0</v>
      </c>
      <c r="Y79" s="3"/>
      <c r="Z79" s="8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","6010"," - ","GRATUITY")</f>
        <v xml:space="preserve">          6010 - GRATUITY</v>
      </c>
      <c r="C80" s="12"/>
      <c r="D80" s="7"/>
      <c r="E80" s="3"/>
      <c r="F80" s="8">
        <f t="shared" si="12"/>
        <v>0</v>
      </c>
      <c r="G80" s="3"/>
      <c r="H80" s="7">
        <v>0</v>
      </c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0</v>
      </c>
      <c r="U80" s="3"/>
      <c r="V80" s="8">
        <f t="shared" si="17"/>
        <v>0</v>
      </c>
      <c r="W80" s="3"/>
      <c r="X80" s="7">
        <f t="shared" si="18"/>
        <v>0</v>
      </c>
      <c r="Y80" s="3"/>
      <c r="Z80" s="8">
        <f t="shared" si="19"/>
        <v>0</v>
      </c>
    </row>
    <row r="81" spans="1:26" s="69" customFormat="1" ht="15" customHeight="1" outlineLevel="1" collapsed="1" x14ac:dyDescent="0.3">
      <c r="A81" s="25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3210.66</v>
      </c>
      <c r="E81" s="2"/>
      <c r="F81" s="6">
        <f t="shared" si="12"/>
        <v>2.6901755428651178E-3</v>
      </c>
      <c r="G81" s="2"/>
      <c r="H81" s="2">
        <f>SUM(OSRRefH22_2x_0)</f>
        <v>500</v>
      </c>
      <c r="I81" s="2"/>
      <c r="J81" s="6">
        <f t="shared" si="13"/>
        <v>8.9385954248693178E-4</v>
      </c>
      <c r="K81" s="2"/>
      <c r="L81" s="2">
        <f t="shared" si="14"/>
        <v>2710.66</v>
      </c>
      <c r="M81" s="2"/>
      <c r="N81" s="6">
        <f t="shared" si="15"/>
        <v>5.4213199999999997</v>
      </c>
      <c r="O81" s="14"/>
      <c r="P81" s="2">
        <f>SUM(OSRRefP22_2x_0)</f>
        <v>12389.25</v>
      </c>
      <c r="Q81" s="2"/>
      <c r="R81" s="6">
        <f t="shared" si="16"/>
        <v>1.4188035794822781E-3</v>
      </c>
      <c r="S81" s="2"/>
      <c r="T81" s="2">
        <f>SUM(OSRRefT22_2x_0)</f>
        <v>8400</v>
      </c>
      <c r="U81" s="2"/>
      <c r="V81" s="6">
        <f t="shared" si="17"/>
        <v>8.3988107284008586E-4</v>
      </c>
      <c r="W81" s="2"/>
      <c r="X81" s="2">
        <f t="shared" si="18"/>
        <v>3989.25</v>
      </c>
      <c r="Y81" s="2"/>
      <c r="Z81" s="6">
        <f t="shared" si="19"/>
        <v>0.4749107142857143</v>
      </c>
    </row>
    <row r="82" spans="1:26" s="70" customFormat="1" ht="15" hidden="1" customHeight="1" outlineLevel="2" x14ac:dyDescent="0.3">
      <c r="A82" s="26"/>
      <c r="B82" s="12" t="str">
        <f>CONCATENATE("          ","6362"," - ","ADVERTISING EXPENSE")</f>
        <v xml:space="preserve">          6362 - ADVERTISING EXPENSE</v>
      </c>
      <c r="C82" s="12"/>
      <c r="D82" s="7">
        <v>3210.66</v>
      </c>
      <c r="E82" s="3"/>
      <c r="F82" s="8">
        <f t="shared" si="12"/>
        <v>2.6901755428651178E-3</v>
      </c>
      <c r="G82" s="3"/>
      <c r="H82" s="7">
        <v>500</v>
      </c>
      <c r="I82" s="3"/>
      <c r="J82" s="8">
        <f t="shared" si="13"/>
        <v>8.9385954248693178E-4</v>
      </c>
      <c r="K82" s="3"/>
      <c r="L82" s="7">
        <f t="shared" si="14"/>
        <v>2710.66</v>
      </c>
      <c r="M82" s="3"/>
      <c r="N82" s="8">
        <f t="shared" si="15"/>
        <v>5.4213199999999997</v>
      </c>
      <c r="O82" s="12"/>
      <c r="P82" s="7">
        <v>12389.25</v>
      </c>
      <c r="Q82" s="3"/>
      <c r="R82" s="8">
        <f t="shared" si="16"/>
        <v>1.4188035794822781E-3</v>
      </c>
      <c r="S82" s="3"/>
      <c r="T82" s="7">
        <v>8400</v>
      </c>
      <c r="U82" s="3"/>
      <c r="V82" s="8">
        <f t="shared" si="17"/>
        <v>8.3988107284008586E-4</v>
      </c>
      <c r="W82" s="3"/>
      <c r="X82" s="7">
        <f t="shared" si="18"/>
        <v>3989.25</v>
      </c>
      <c r="Y82" s="3"/>
      <c r="Z82" s="8">
        <f t="shared" si="19"/>
        <v>0.4749107142857143</v>
      </c>
    </row>
    <row r="83" spans="1:26" s="69" customFormat="1" ht="15" customHeight="1" outlineLevel="1" collapsed="1" x14ac:dyDescent="0.3">
      <c r="A83" s="25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-46.29</v>
      </c>
      <c r="E83" s="2"/>
      <c r="F83" s="6">
        <f t="shared" si="12"/>
        <v>-3.8785865173897675E-5</v>
      </c>
      <c r="G83" s="2"/>
      <c r="H83" s="2">
        <f>SUM(OSRRefH22_3x_0)</f>
        <v>235</v>
      </c>
      <c r="I83" s="2"/>
      <c r="J83" s="6">
        <f t="shared" si="13"/>
        <v>4.2011398496885795E-4</v>
      </c>
      <c r="K83" s="2"/>
      <c r="L83" s="2">
        <f t="shared" si="14"/>
        <v>-281.29000000000002</v>
      </c>
      <c r="M83" s="2"/>
      <c r="N83" s="6">
        <f t="shared" si="15"/>
        <v>-1.1969787234042555</v>
      </c>
      <c r="O83" s="14"/>
      <c r="P83" s="2">
        <f>SUM(OSRRefP22_3x_0)</f>
        <v>6.76</v>
      </c>
      <c r="Q83" s="2"/>
      <c r="R83" s="6">
        <f t="shared" si="16"/>
        <v>7.741479264120265E-7</v>
      </c>
      <c r="S83" s="2"/>
      <c r="T83" s="2">
        <f>SUM(OSRRefT22_3x_0)</f>
        <v>2350</v>
      </c>
      <c r="U83" s="2"/>
      <c r="V83" s="6">
        <f t="shared" si="17"/>
        <v>2.349667287112145E-4</v>
      </c>
      <c r="W83" s="2"/>
      <c r="X83" s="2">
        <f t="shared" si="18"/>
        <v>-2343.2399999999998</v>
      </c>
      <c r="Y83" s="2"/>
      <c r="Z83" s="6">
        <f t="shared" si="19"/>
        <v>-0.99712340425531909</v>
      </c>
    </row>
    <row r="84" spans="1:26" s="70" customFormat="1" ht="15" hidden="1" customHeight="1" outlineLevel="2" x14ac:dyDescent="0.3">
      <c r="A84" s="26"/>
      <c r="B84" s="12" t="str">
        <f>CONCATENATE("          ","6272"," - ","CASH (OVER/SHORT)")</f>
        <v xml:space="preserve">          6272 - CASH (OVER/SHORT)</v>
      </c>
      <c r="C84" s="12"/>
      <c r="D84" s="7">
        <v>-46.29</v>
      </c>
      <c r="E84" s="3"/>
      <c r="F84" s="8">
        <f t="shared" si="12"/>
        <v>-3.8785865173897675E-5</v>
      </c>
      <c r="G84" s="3"/>
      <c r="H84" s="7">
        <v>235</v>
      </c>
      <c r="I84" s="3"/>
      <c r="J84" s="8">
        <f t="shared" si="13"/>
        <v>4.2011398496885795E-4</v>
      </c>
      <c r="K84" s="3"/>
      <c r="L84" s="7">
        <f t="shared" si="14"/>
        <v>-281.29000000000002</v>
      </c>
      <c r="M84" s="3"/>
      <c r="N84" s="8">
        <f t="shared" si="15"/>
        <v>-1.1969787234042555</v>
      </c>
      <c r="O84" s="12"/>
      <c r="P84" s="7">
        <v>6.76</v>
      </c>
      <c r="Q84" s="3"/>
      <c r="R84" s="8">
        <f t="shared" si="16"/>
        <v>7.741479264120265E-7</v>
      </c>
      <c r="S84" s="3"/>
      <c r="T84" s="7">
        <v>2350</v>
      </c>
      <c r="U84" s="3"/>
      <c r="V84" s="8">
        <f t="shared" si="17"/>
        <v>2.349667287112145E-4</v>
      </c>
      <c r="W84" s="3"/>
      <c r="X84" s="7">
        <f t="shared" si="18"/>
        <v>-2343.2399999999998</v>
      </c>
      <c r="Y84" s="3"/>
      <c r="Z84" s="8">
        <f t="shared" si="19"/>
        <v>-0.99712340425531909</v>
      </c>
    </row>
    <row r="85" spans="1:26" s="69" customFormat="1" ht="15" customHeight="1" outlineLevel="1" collapsed="1" x14ac:dyDescent="0.3">
      <c r="A85" s="25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15412.52</v>
      </c>
      <c r="E85" s="2"/>
      <c r="F85" s="6">
        <f t="shared" si="12"/>
        <v>1.2913975431194673E-2</v>
      </c>
      <c r="G85" s="2"/>
      <c r="H85" s="2">
        <f>SUM(OSRRefH22_4x_0)</f>
        <v>9877</v>
      </c>
      <c r="I85" s="2"/>
      <c r="J85" s="6">
        <f t="shared" si="13"/>
        <v>1.765730140228685E-2</v>
      </c>
      <c r="K85" s="2"/>
      <c r="L85" s="2">
        <f t="shared" si="14"/>
        <v>5535.52</v>
      </c>
      <c r="M85" s="2"/>
      <c r="N85" s="6">
        <f t="shared" si="15"/>
        <v>0.56044547939657796</v>
      </c>
      <c r="O85" s="14"/>
      <c r="P85" s="2">
        <f>SUM(OSRRefP22_4x_0)</f>
        <v>126779.94</v>
      </c>
      <c r="Q85" s="2"/>
      <c r="R85" s="6">
        <f t="shared" si="16"/>
        <v>1.4518702316810819E-2</v>
      </c>
      <c r="S85" s="2"/>
      <c r="T85" s="2">
        <f>SUM(OSRRefT22_4x_0)</f>
        <v>163517</v>
      </c>
      <c r="U85" s="2"/>
      <c r="V85" s="6">
        <f t="shared" si="17"/>
        <v>1.6349384927094323E-2</v>
      </c>
      <c r="W85" s="2"/>
      <c r="X85" s="2">
        <f t="shared" si="18"/>
        <v>-36737.06</v>
      </c>
      <c r="Y85" s="2"/>
      <c r="Z85" s="6">
        <f t="shared" si="19"/>
        <v>-0.22466813848101419</v>
      </c>
    </row>
    <row r="86" spans="1:26" s="70" customFormat="1" ht="15" hidden="1" customHeight="1" outlineLevel="2" x14ac:dyDescent="0.3">
      <c r="A86" s="26"/>
      <c r="B86" s="12" t="str">
        <f>CONCATENATE("          ","6381"," - ","BANK/CREDIT CARD FEES")</f>
        <v xml:space="preserve">          6381 - BANK/CREDIT CARD FEES</v>
      </c>
      <c r="C86" s="12"/>
      <c r="D86" s="7">
        <v>15412.52</v>
      </c>
      <c r="E86" s="3"/>
      <c r="F86" s="8">
        <f t="shared" si="12"/>
        <v>1.2913975431194673E-2</v>
      </c>
      <c r="G86" s="3"/>
      <c r="H86" s="7">
        <v>9877</v>
      </c>
      <c r="I86" s="3"/>
      <c r="J86" s="8">
        <f t="shared" si="13"/>
        <v>1.765730140228685E-2</v>
      </c>
      <c r="K86" s="3"/>
      <c r="L86" s="7">
        <f t="shared" si="14"/>
        <v>5535.52</v>
      </c>
      <c r="M86" s="3"/>
      <c r="N86" s="8">
        <f t="shared" si="15"/>
        <v>0.56044547939657796</v>
      </c>
      <c r="O86" s="12"/>
      <c r="P86" s="7">
        <v>126779.94</v>
      </c>
      <c r="Q86" s="3"/>
      <c r="R86" s="8">
        <f t="shared" si="16"/>
        <v>1.4518702316810819E-2</v>
      </c>
      <c r="S86" s="3"/>
      <c r="T86" s="7">
        <v>163517</v>
      </c>
      <c r="U86" s="3"/>
      <c r="V86" s="8">
        <f t="shared" si="17"/>
        <v>1.6349384927094323E-2</v>
      </c>
      <c r="W86" s="3"/>
      <c r="X86" s="7">
        <f t="shared" si="18"/>
        <v>-36737.06</v>
      </c>
      <c r="Y86" s="3"/>
      <c r="Z86" s="8">
        <f t="shared" si="19"/>
        <v>-0.22466813848101419</v>
      </c>
    </row>
    <row r="87" spans="1:26" s="69" customFormat="1" ht="15" customHeight="1" outlineLevel="1" collapsed="1" x14ac:dyDescent="0.3">
      <c r="A87" s="25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16660.489999999998</v>
      </c>
      <c r="E87" s="2"/>
      <c r="F87" s="6">
        <f t="shared" si="12"/>
        <v>1.3959635318018372E-2</v>
      </c>
      <c r="G87" s="2"/>
      <c r="H87" s="2">
        <f>SUM(OSRRefH22_5x_0)</f>
        <v>16259</v>
      </c>
      <c r="I87" s="2"/>
      <c r="J87" s="6">
        <f t="shared" si="13"/>
        <v>2.9066524602590047E-2</v>
      </c>
      <c r="K87" s="2"/>
      <c r="L87" s="2">
        <f t="shared" si="14"/>
        <v>401.48999999999796</v>
      </c>
      <c r="M87" s="2"/>
      <c r="N87" s="6">
        <f t="shared" si="15"/>
        <v>2.4693400578141213E-2</v>
      </c>
      <c r="O87" s="14"/>
      <c r="P87" s="2">
        <f>SUM(OSRRefP22_5x_0)</f>
        <v>286621.02</v>
      </c>
      <c r="Q87" s="2"/>
      <c r="R87" s="6">
        <f t="shared" si="16"/>
        <v>3.2823530813476332E-2</v>
      </c>
      <c r="S87" s="2"/>
      <c r="T87" s="2">
        <f>SUM(OSRRefT22_5x_0)</f>
        <v>282607</v>
      </c>
      <c r="U87" s="2"/>
      <c r="V87" s="6">
        <f t="shared" si="17"/>
        <v>2.8256698851442635E-2</v>
      </c>
      <c r="W87" s="2"/>
      <c r="X87" s="2">
        <f t="shared" si="18"/>
        <v>4014.0200000000186</v>
      </c>
      <c r="Y87" s="2"/>
      <c r="Z87" s="6">
        <f t="shared" si="19"/>
        <v>1.4203540605859086E-2</v>
      </c>
    </row>
    <row r="88" spans="1:26" s="70" customFormat="1" ht="15" hidden="1" customHeight="1" outlineLevel="2" x14ac:dyDescent="0.3">
      <c r="A88" s="26"/>
      <c r="B88" s="12" t="str">
        <f>CONCATENATE("          ","6321"," - ","BUILDING DEPRECIATION")</f>
        <v xml:space="preserve">          6321 - BUILDING DEPRECIATION</v>
      </c>
      <c r="C88" s="12"/>
      <c r="D88" s="7">
        <v>13321.71</v>
      </c>
      <c r="E88" s="3"/>
      <c r="F88" s="8">
        <f t="shared" si="12"/>
        <v>1.1162109482518133E-2</v>
      </c>
      <c r="G88" s="3"/>
      <c r="H88" s="7"/>
      <c r="I88" s="3"/>
      <c r="J88" s="8">
        <f t="shared" si="13"/>
        <v>0</v>
      </c>
      <c r="K88" s="3"/>
      <c r="L88" s="7">
        <f t="shared" si="14"/>
        <v>13321.71</v>
      </c>
      <c r="M88" s="3"/>
      <c r="N88" s="8">
        <f t="shared" si="15"/>
        <v>0</v>
      </c>
      <c r="O88" s="12"/>
      <c r="P88" s="7">
        <v>152475.84</v>
      </c>
      <c r="Q88" s="3"/>
      <c r="R88" s="8">
        <f t="shared" si="16"/>
        <v>1.746136913667632E-2</v>
      </c>
      <c r="S88" s="3"/>
      <c r="T88" s="7"/>
      <c r="U88" s="3"/>
      <c r="V88" s="8">
        <f t="shared" si="17"/>
        <v>0</v>
      </c>
      <c r="W88" s="3"/>
      <c r="X88" s="7">
        <f t="shared" si="18"/>
        <v>152475.84</v>
      </c>
      <c r="Y88" s="3"/>
      <c r="Z88" s="8">
        <f t="shared" si="19"/>
        <v>0</v>
      </c>
    </row>
    <row r="89" spans="1:26" s="70" customFormat="1" ht="15" hidden="1" customHeight="1" outlineLevel="2" x14ac:dyDescent="0.3">
      <c r="A89" s="26"/>
      <c r="B89" s="12" t="str">
        <f>CONCATENATE("          ","6322"," - ","EQUIPMENT DEPRECIATION EXPENSE")</f>
        <v xml:space="preserve">          6322 - EQUIPMENT DEPRECIATION EXPENSE</v>
      </c>
      <c r="C89" s="12"/>
      <c r="D89" s="7">
        <v>3338.78</v>
      </c>
      <c r="E89" s="3"/>
      <c r="F89" s="8">
        <f t="shared" si="12"/>
        <v>2.7975258355002397E-3</v>
      </c>
      <c r="G89" s="3"/>
      <c r="H89" s="7">
        <v>16259</v>
      </c>
      <c r="I89" s="3"/>
      <c r="J89" s="8">
        <f t="shared" si="13"/>
        <v>2.9066524602590047E-2</v>
      </c>
      <c r="K89" s="3"/>
      <c r="L89" s="7">
        <f t="shared" si="14"/>
        <v>-12920.22</v>
      </c>
      <c r="M89" s="3"/>
      <c r="N89" s="8">
        <f t="shared" si="15"/>
        <v>-0.7946503474998462</v>
      </c>
      <c r="O89" s="12"/>
      <c r="P89" s="7">
        <v>134145.18</v>
      </c>
      <c r="Q89" s="3"/>
      <c r="R89" s="8">
        <f t="shared" si="16"/>
        <v>1.5362161676800006E-2</v>
      </c>
      <c r="S89" s="3"/>
      <c r="T89" s="7">
        <v>282607</v>
      </c>
      <c r="U89" s="3"/>
      <c r="V89" s="8">
        <f t="shared" si="17"/>
        <v>2.8256698851442635E-2</v>
      </c>
      <c r="W89" s="3"/>
      <c r="X89" s="7">
        <f t="shared" si="18"/>
        <v>-148461.82</v>
      </c>
      <c r="Y89" s="3"/>
      <c r="Z89" s="8">
        <f t="shared" si="19"/>
        <v>-0.52532959197755191</v>
      </c>
    </row>
    <row r="90" spans="1:26" s="69" customFormat="1" ht="15" customHeight="1" outlineLevel="1" collapsed="1" x14ac:dyDescent="0.3">
      <c r="A90" s="25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-50.18</v>
      </c>
      <c r="E90" s="2"/>
      <c r="F90" s="6">
        <f t="shared" ref="F90:F121" si="20">IF(D$12=0,0,D90/D$12)</f>
        <v>-4.2045251985875682E-5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-50.18</v>
      </c>
      <c r="M90" s="2"/>
      <c r="N90" s="6">
        <f t="shared" ref="N90:N121" si="23">IF(H90=0,0,L90/H90)</f>
        <v>0</v>
      </c>
      <c r="O90" s="14"/>
      <c r="P90" s="2">
        <f>SUM(OSRRefP22_6x_0)</f>
        <v>2006.6499999999999</v>
      </c>
      <c r="Q90" s="2"/>
      <c r="R90" s="6">
        <f t="shared" ref="R90:R121" si="24">IF(P$12=0,0,P90/P$12)</f>
        <v>2.2979939889566464E-4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2006.6499999999999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3">
      <c r="A91" s="26"/>
      <c r="B91" s="12" t="str">
        <f>CONCATENATE("          ","6382"," - ","DISCOUNTS/MARK DOWNS")</f>
        <v xml:space="preserve">          6382 - DISCOUNTS/MARK DOWNS</v>
      </c>
      <c r="C91" s="12"/>
      <c r="D91" s="7"/>
      <c r="E91" s="3"/>
      <c r="F91" s="8">
        <f t="shared" si="20"/>
        <v>0</v>
      </c>
      <c r="G91" s="3"/>
      <c r="H91" s="7"/>
      <c r="I91" s="3"/>
      <c r="J91" s="8">
        <f t="shared" si="21"/>
        <v>0</v>
      </c>
      <c r="K91" s="3"/>
      <c r="L91" s="7">
        <f t="shared" si="22"/>
        <v>0</v>
      </c>
      <c r="M91" s="3"/>
      <c r="N91" s="8">
        <f t="shared" si="23"/>
        <v>0</v>
      </c>
      <c r="O91" s="12"/>
      <c r="P91" s="7">
        <v>2171.35</v>
      </c>
      <c r="Q91" s="3"/>
      <c r="R91" s="8">
        <f t="shared" si="24"/>
        <v>2.4866066568265586E-4</v>
      </c>
      <c r="S91" s="3"/>
      <c r="T91" s="7">
        <v>0</v>
      </c>
      <c r="U91" s="3"/>
      <c r="V91" s="8">
        <f t="shared" si="25"/>
        <v>0</v>
      </c>
      <c r="W91" s="3"/>
      <c r="X91" s="7">
        <f t="shared" si="26"/>
        <v>2171.35</v>
      </c>
      <c r="Y91" s="3"/>
      <c r="Z91" s="8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","9175"," - ","EARNED DISCOUNTS")</f>
        <v xml:space="preserve">          9175 - EARNED DISCOUNTS</v>
      </c>
      <c r="C92" s="12"/>
      <c r="D92" s="7">
        <v>-50.18</v>
      </c>
      <c r="E92" s="3"/>
      <c r="F92" s="8">
        <f t="shared" si="20"/>
        <v>-4.2045251985875682E-5</v>
      </c>
      <c r="G92" s="3"/>
      <c r="H92" s="7"/>
      <c r="I92" s="3"/>
      <c r="J92" s="8">
        <f t="shared" si="21"/>
        <v>0</v>
      </c>
      <c r="K92" s="3"/>
      <c r="L92" s="7">
        <f t="shared" si="22"/>
        <v>-50.18</v>
      </c>
      <c r="M92" s="3"/>
      <c r="N92" s="8">
        <f t="shared" si="23"/>
        <v>0</v>
      </c>
      <c r="O92" s="12"/>
      <c r="P92" s="7">
        <v>-164.7</v>
      </c>
      <c r="Q92" s="3"/>
      <c r="R92" s="8">
        <f t="shared" si="24"/>
        <v>-1.8861266786991236E-5</v>
      </c>
      <c r="S92" s="3"/>
      <c r="T92" s="7"/>
      <c r="U92" s="3"/>
      <c r="V92" s="8">
        <f t="shared" si="25"/>
        <v>0</v>
      </c>
      <c r="W92" s="3"/>
      <c r="X92" s="7">
        <f t="shared" si="26"/>
        <v>-164.7</v>
      </c>
      <c r="Y92" s="3"/>
      <c r="Z92" s="8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1488.53</v>
      </c>
      <c r="E93" s="2"/>
      <c r="F93" s="6">
        <f t="shared" si="20"/>
        <v>1.2472223782091577E-3</v>
      </c>
      <c r="G93" s="2"/>
      <c r="H93" s="2">
        <f>SUM(OSRRefH22_7x_0)</f>
        <v>1250</v>
      </c>
      <c r="I93" s="2"/>
      <c r="J93" s="6">
        <f t="shared" si="21"/>
        <v>2.2346488562173293E-3</v>
      </c>
      <c r="K93" s="2"/>
      <c r="L93" s="2">
        <f t="shared" si="22"/>
        <v>238.52999999999997</v>
      </c>
      <c r="M93" s="2"/>
      <c r="N93" s="6">
        <f t="shared" si="23"/>
        <v>0.19082399999999997</v>
      </c>
      <c r="O93" s="14"/>
      <c r="P93" s="2">
        <f>SUM(OSRRefP22_7x_0)</f>
        <v>7306.8</v>
      </c>
      <c r="Q93" s="2"/>
      <c r="R93" s="6">
        <f t="shared" si="24"/>
        <v>8.3676687406914136E-4</v>
      </c>
      <c r="S93" s="2"/>
      <c r="T93" s="2">
        <f>SUM(OSRRefT22_7x_0)</f>
        <v>12500</v>
      </c>
      <c r="U93" s="2"/>
      <c r="V93" s="6">
        <f t="shared" si="25"/>
        <v>1.2498230250596516E-3</v>
      </c>
      <c r="W93" s="2"/>
      <c r="X93" s="2">
        <f t="shared" si="26"/>
        <v>-5193.2</v>
      </c>
      <c r="Y93" s="2"/>
      <c r="Z93" s="6">
        <f t="shared" si="27"/>
        <v>-0.41545599999999999</v>
      </c>
    </row>
    <row r="94" spans="1:26" s="70" customFormat="1" ht="15" hidden="1" customHeight="1" outlineLevel="2" x14ac:dyDescent="0.3">
      <c r="A94" s="26"/>
      <c r="B94" s="12" t="str">
        <f>CONCATENATE("          ","6399"," - ","DONATION-ON CAMPUS")</f>
        <v xml:space="preserve">          6399 - DONATION-ON CAMPUS</v>
      </c>
      <c r="C94" s="12"/>
      <c r="D94" s="7">
        <v>1488.53</v>
      </c>
      <c r="E94" s="3"/>
      <c r="F94" s="8">
        <f t="shared" si="20"/>
        <v>1.2472223782091577E-3</v>
      </c>
      <c r="G94" s="3"/>
      <c r="H94" s="7">
        <v>1250</v>
      </c>
      <c r="I94" s="3"/>
      <c r="J94" s="8">
        <f t="shared" si="21"/>
        <v>2.2346488562173293E-3</v>
      </c>
      <c r="K94" s="3"/>
      <c r="L94" s="7">
        <f t="shared" si="22"/>
        <v>238.52999999999997</v>
      </c>
      <c r="M94" s="3"/>
      <c r="N94" s="8">
        <f t="shared" si="23"/>
        <v>0.19082399999999997</v>
      </c>
      <c r="O94" s="12"/>
      <c r="P94" s="7">
        <v>7306.8</v>
      </c>
      <c r="Q94" s="3"/>
      <c r="R94" s="8">
        <f t="shared" si="24"/>
        <v>8.3676687406914136E-4</v>
      </c>
      <c r="S94" s="3"/>
      <c r="T94" s="7">
        <v>12500</v>
      </c>
      <c r="U94" s="3"/>
      <c r="V94" s="8">
        <f t="shared" si="25"/>
        <v>1.2498230250596516E-3</v>
      </c>
      <c r="W94" s="3"/>
      <c r="X94" s="7">
        <f t="shared" si="26"/>
        <v>-5193.2</v>
      </c>
      <c r="Y94" s="3"/>
      <c r="Z94" s="8">
        <f t="shared" si="27"/>
        <v>-0.41545599999999999</v>
      </c>
    </row>
    <row r="95" spans="1:26" s="69" customFormat="1" ht="15" customHeight="1" outlineLevel="1" collapsed="1" x14ac:dyDescent="0.3">
      <c r="A95" s="25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0</v>
      </c>
      <c r="E95" s="2"/>
      <c r="F95" s="6">
        <f t="shared" si="20"/>
        <v>0</v>
      </c>
      <c r="G95" s="2"/>
      <c r="H95" s="2">
        <f>SUM(OSRRefH22_8x_0)</f>
        <v>245</v>
      </c>
      <c r="I95" s="2"/>
      <c r="J95" s="6">
        <f t="shared" si="21"/>
        <v>4.3799117581859659E-4</v>
      </c>
      <c r="K95" s="2"/>
      <c r="L95" s="2">
        <f t="shared" si="22"/>
        <v>-245</v>
      </c>
      <c r="M95" s="2"/>
      <c r="N95" s="6">
        <f t="shared" si="23"/>
        <v>-1</v>
      </c>
      <c r="O95" s="14"/>
      <c r="P95" s="2">
        <f>SUM(OSRRefP22_8x_0)</f>
        <v>4319.88</v>
      </c>
      <c r="Q95" s="2"/>
      <c r="R95" s="6">
        <f t="shared" si="24"/>
        <v>4.9470800951905108E-4</v>
      </c>
      <c r="S95" s="2"/>
      <c r="T95" s="2">
        <f>SUM(OSRRefT22_8x_0)</f>
        <v>2450</v>
      </c>
      <c r="U95" s="2"/>
      <c r="V95" s="6">
        <f t="shared" si="25"/>
        <v>2.4496531291169171E-4</v>
      </c>
      <c r="W95" s="2"/>
      <c r="X95" s="2">
        <f t="shared" si="26"/>
        <v>1869.88</v>
      </c>
      <c r="Y95" s="2"/>
      <c r="Z95" s="6">
        <f t="shared" si="27"/>
        <v>0.76321632653061233</v>
      </c>
    </row>
    <row r="96" spans="1:26" s="70" customFormat="1" ht="15" hidden="1" customHeight="1" outlineLevel="2" x14ac:dyDescent="0.3">
      <c r="A96" s="26"/>
      <c r="B96" s="12" t="str">
        <f>CONCATENATE("          ","6277"," - ","EMPLOYEE APPRECIATION")</f>
        <v xml:space="preserve">          6277 - EMPLOYEE APPRECIATION</v>
      </c>
      <c r="C96" s="12"/>
      <c r="D96" s="7"/>
      <c r="E96" s="3"/>
      <c r="F96" s="8">
        <f t="shared" si="20"/>
        <v>0</v>
      </c>
      <c r="G96" s="3"/>
      <c r="H96" s="7">
        <v>245</v>
      </c>
      <c r="I96" s="3"/>
      <c r="J96" s="8">
        <f t="shared" si="21"/>
        <v>4.3799117581859659E-4</v>
      </c>
      <c r="K96" s="3"/>
      <c r="L96" s="7">
        <f t="shared" si="22"/>
        <v>-245</v>
      </c>
      <c r="M96" s="3"/>
      <c r="N96" s="8">
        <f t="shared" si="23"/>
        <v>-1</v>
      </c>
      <c r="O96" s="12"/>
      <c r="P96" s="7">
        <v>4319.88</v>
      </c>
      <c r="Q96" s="3"/>
      <c r="R96" s="8">
        <f t="shared" si="24"/>
        <v>4.9470800951905108E-4</v>
      </c>
      <c r="S96" s="3"/>
      <c r="T96" s="7">
        <v>2450</v>
      </c>
      <c r="U96" s="3"/>
      <c r="V96" s="8">
        <f t="shared" si="25"/>
        <v>2.4496531291169171E-4</v>
      </c>
      <c r="W96" s="3"/>
      <c r="X96" s="7">
        <f t="shared" si="26"/>
        <v>1869.88</v>
      </c>
      <c r="Y96" s="3"/>
      <c r="Z96" s="8">
        <f t="shared" si="27"/>
        <v>0.76321632653061233</v>
      </c>
    </row>
    <row r="97" spans="1:26" s="69" customFormat="1" ht="15" customHeight="1" outlineLevel="1" collapsed="1" x14ac:dyDescent="0.3">
      <c r="A97" s="25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1388.16</v>
      </c>
      <c r="E97" s="2"/>
      <c r="F97" s="6">
        <f t="shared" si="20"/>
        <v>1.1631234953510003E-3</v>
      </c>
      <c r="G97" s="2"/>
      <c r="H97" s="2">
        <f>SUM(OSRRefH22_9x_0)</f>
        <v>1700</v>
      </c>
      <c r="I97" s="2"/>
      <c r="J97" s="6">
        <f t="shared" si="21"/>
        <v>3.0391224444555678E-3</v>
      </c>
      <c r="K97" s="2"/>
      <c r="L97" s="2">
        <f t="shared" si="22"/>
        <v>-311.83999999999992</v>
      </c>
      <c r="M97" s="2"/>
      <c r="N97" s="6">
        <f t="shared" si="23"/>
        <v>-0.183435294117647</v>
      </c>
      <c r="O97" s="14"/>
      <c r="P97" s="2">
        <f>SUM(OSRRefP22_9x_0)</f>
        <v>15798.31</v>
      </c>
      <c r="Q97" s="2"/>
      <c r="R97" s="6">
        <f t="shared" si="24"/>
        <v>1.8092054626204707E-3</v>
      </c>
      <c r="S97" s="2"/>
      <c r="T97" s="2">
        <f>SUM(OSRRefT22_9x_0)</f>
        <v>16800</v>
      </c>
      <c r="U97" s="2"/>
      <c r="V97" s="6">
        <f t="shared" si="25"/>
        <v>1.6797621456801717E-3</v>
      </c>
      <c r="W97" s="2"/>
      <c r="X97" s="2">
        <f t="shared" si="26"/>
        <v>-1001.6900000000005</v>
      </c>
      <c r="Y97" s="2"/>
      <c r="Z97" s="6">
        <f t="shared" si="27"/>
        <v>-5.9624404761904795E-2</v>
      </c>
    </row>
    <row r="98" spans="1:26" s="70" customFormat="1" ht="15" hidden="1" customHeight="1" outlineLevel="2" x14ac:dyDescent="0.3">
      <c r="A98" s="26"/>
      <c r="B98" s="12" t="str">
        <f>CONCATENATE("          ","6351"," - ","EQUIPMENT RENTAL")</f>
        <v xml:space="preserve">          6351 - EQUIPMENT RENTAL</v>
      </c>
      <c r="C98" s="12"/>
      <c r="D98" s="7">
        <v>1388.16</v>
      </c>
      <c r="E98" s="3"/>
      <c r="F98" s="8">
        <f t="shared" si="20"/>
        <v>1.1631234953510003E-3</v>
      </c>
      <c r="G98" s="3"/>
      <c r="H98" s="7">
        <v>1700</v>
      </c>
      <c r="I98" s="3"/>
      <c r="J98" s="8">
        <f t="shared" si="21"/>
        <v>3.0391224444555678E-3</v>
      </c>
      <c r="K98" s="3"/>
      <c r="L98" s="7">
        <f t="shared" si="22"/>
        <v>-311.83999999999992</v>
      </c>
      <c r="M98" s="3"/>
      <c r="N98" s="8">
        <f t="shared" si="23"/>
        <v>-0.183435294117647</v>
      </c>
      <c r="O98" s="12"/>
      <c r="P98" s="7">
        <v>15798.31</v>
      </c>
      <c r="Q98" s="3"/>
      <c r="R98" s="8">
        <f t="shared" si="24"/>
        <v>1.8092054626204707E-3</v>
      </c>
      <c r="S98" s="3"/>
      <c r="T98" s="7">
        <v>16800</v>
      </c>
      <c r="U98" s="3"/>
      <c r="V98" s="8">
        <f t="shared" si="25"/>
        <v>1.6797621456801717E-3</v>
      </c>
      <c r="W98" s="3"/>
      <c r="X98" s="7">
        <f t="shared" si="26"/>
        <v>-1001.6900000000005</v>
      </c>
      <c r="Y98" s="3"/>
      <c r="Z98" s="8">
        <f t="shared" si="27"/>
        <v>-5.9624404761904795E-2</v>
      </c>
    </row>
    <row r="99" spans="1:26" s="69" customFormat="1" ht="15" customHeight="1" outlineLevel="1" collapsed="1" x14ac:dyDescent="0.3">
      <c r="A99" s="25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750.14999999999964</v>
      </c>
      <c r="E99" s="2"/>
      <c r="F99" s="6">
        <f t="shared" si="20"/>
        <v>6.2854216375457614E-4</v>
      </c>
      <c r="G99" s="2"/>
      <c r="H99" s="2">
        <f>SUM(OSRRefH22_10x_0)</f>
        <v>-535</v>
      </c>
      <c r="I99" s="2"/>
      <c r="J99" s="6">
        <f t="shared" si="21"/>
        <v>-9.5642971046101702E-4</v>
      </c>
      <c r="K99" s="2"/>
      <c r="L99" s="2">
        <f t="shared" si="22"/>
        <v>1285.1499999999996</v>
      </c>
      <c r="M99" s="2"/>
      <c r="N99" s="6">
        <f t="shared" si="23"/>
        <v>-2.4021495327102795</v>
      </c>
      <c r="O99" s="14"/>
      <c r="P99" s="2">
        <f>SUM(OSRRefP22_10x_0)</f>
        <v>-43856.459999999992</v>
      </c>
      <c r="Q99" s="2"/>
      <c r="R99" s="6">
        <f t="shared" si="24"/>
        <v>-5.0223946107650855E-3</v>
      </c>
      <c r="S99" s="2"/>
      <c r="T99" s="2">
        <f>SUM(OSRRefT22_10x_0)</f>
        <v>-12050</v>
      </c>
      <c r="U99" s="2"/>
      <c r="V99" s="6">
        <f t="shared" si="25"/>
        <v>-1.2048293961575041E-3</v>
      </c>
      <c r="W99" s="2"/>
      <c r="X99" s="2">
        <f t="shared" si="26"/>
        <v>-31806.459999999992</v>
      </c>
      <c r="Y99" s="2"/>
      <c r="Z99" s="6">
        <f t="shared" si="27"/>
        <v>2.6395402489626547</v>
      </c>
    </row>
    <row r="100" spans="1:26" s="70" customFormat="1" ht="15" hidden="1" customHeight="1" outlineLevel="2" x14ac:dyDescent="0.3">
      <c r="A100" s="26"/>
      <c r="B100" s="12" t="str">
        <f>CONCATENATE("          ","6305"," - ","FREIGHT OUT")</f>
        <v xml:space="preserve">          6305 - FREIGHT OUT</v>
      </c>
      <c r="C100" s="12"/>
      <c r="D100" s="7">
        <v>14219.32</v>
      </c>
      <c r="E100" s="3"/>
      <c r="F100" s="8">
        <f t="shared" si="20"/>
        <v>1.1914206705217254E-2</v>
      </c>
      <c r="G100" s="3"/>
      <c r="H100" s="7">
        <v>3865</v>
      </c>
      <c r="I100" s="3"/>
      <c r="J100" s="8">
        <f t="shared" si="21"/>
        <v>6.9095342634239824E-3</v>
      </c>
      <c r="K100" s="3"/>
      <c r="L100" s="7">
        <f t="shared" si="22"/>
        <v>10354.32</v>
      </c>
      <c r="M100" s="3"/>
      <c r="N100" s="8">
        <f t="shared" si="23"/>
        <v>2.6789961190168174</v>
      </c>
      <c r="O100" s="12"/>
      <c r="P100" s="7">
        <v>126459.31</v>
      </c>
      <c r="Q100" s="3"/>
      <c r="R100" s="8">
        <f t="shared" si="24"/>
        <v>1.4481984114200539E-2</v>
      </c>
      <c r="S100" s="3"/>
      <c r="T100" s="7">
        <v>152450</v>
      </c>
      <c r="U100" s="3"/>
      <c r="V100" s="8">
        <f t="shared" si="25"/>
        <v>1.524284161362751E-2</v>
      </c>
      <c r="W100" s="3"/>
      <c r="X100" s="7">
        <f t="shared" si="26"/>
        <v>-25990.690000000002</v>
      </c>
      <c r="Y100" s="3"/>
      <c r="Z100" s="8">
        <f t="shared" si="27"/>
        <v>-0.17048665136110203</v>
      </c>
    </row>
    <row r="101" spans="1:26" s="70" customFormat="1" ht="15" hidden="1" customHeight="1" outlineLevel="2" x14ac:dyDescent="0.3">
      <c r="A101" s="26"/>
      <c r="B101" s="12" t="str">
        <f>CONCATENATE("          ","6307"," - ","POSTAGE")</f>
        <v xml:space="preserve">          6307 - POSTAGE</v>
      </c>
      <c r="C101" s="12"/>
      <c r="D101" s="7">
        <v>-13469.17</v>
      </c>
      <c r="E101" s="3"/>
      <c r="F101" s="8">
        <f t="shared" si="20"/>
        <v>-1.1285664541462679E-2</v>
      </c>
      <c r="G101" s="3"/>
      <c r="H101" s="7">
        <v>-4400</v>
      </c>
      <c r="I101" s="3"/>
      <c r="J101" s="8">
        <f t="shared" si="21"/>
        <v>-7.8659639738849988E-3</v>
      </c>
      <c r="K101" s="3"/>
      <c r="L101" s="7">
        <f t="shared" si="22"/>
        <v>-9069.17</v>
      </c>
      <c r="M101" s="3"/>
      <c r="N101" s="8">
        <f t="shared" si="23"/>
        <v>2.061175</v>
      </c>
      <c r="O101" s="12"/>
      <c r="P101" s="7">
        <v>-170315.77</v>
      </c>
      <c r="Q101" s="3"/>
      <c r="R101" s="8">
        <f t="shared" si="24"/>
        <v>-1.9504378724965625E-2</v>
      </c>
      <c r="S101" s="3"/>
      <c r="T101" s="7">
        <v>-164500</v>
      </c>
      <c r="U101" s="3"/>
      <c r="V101" s="8">
        <f t="shared" si="25"/>
        <v>-1.6447671009785014E-2</v>
      </c>
      <c r="W101" s="3"/>
      <c r="X101" s="7">
        <f t="shared" si="26"/>
        <v>-5815.7699999999895</v>
      </c>
      <c r="Y101" s="3"/>
      <c r="Z101" s="8">
        <f t="shared" si="27"/>
        <v>3.5354224924012093E-2</v>
      </c>
    </row>
    <row r="102" spans="1:26" s="69" customFormat="1" ht="15" customHeight="1" outlineLevel="1" collapsed="1" x14ac:dyDescent="0.3">
      <c r="A102" s="25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778.61</v>
      </c>
      <c r="E102" s="2"/>
      <c r="F102" s="6">
        <f t="shared" si="20"/>
        <v>6.5238847446637445E-4</v>
      </c>
      <c r="G102" s="2"/>
      <c r="H102" s="2">
        <f>SUM(OSRRefH22_11x_0)</f>
        <v>730</v>
      </c>
      <c r="I102" s="2"/>
      <c r="J102" s="6">
        <f t="shared" si="21"/>
        <v>1.3050349320309204E-3</v>
      </c>
      <c r="K102" s="2"/>
      <c r="L102" s="2">
        <f t="shared" si="22"/>
        <v>48.610000000000014</v>
      </c>
      <c r="M102" s="2"/>
      <c r="N102" s="6">
        <f t="shared" si="23"/>
        <v>6.6589041095890436E-2</v>
      </c>
      <c r="O102" s="14"/>
      <c r="P102" s="2">
        <f>SUM(OSRRefP22_11x_0)</f>
        <v>6725.06</v>
      </c>
      <c r="Q102" s="2"/>
      <c r="R102" s="6">
        <f t="shared" si="24"/>
        <v>7.7014663520657742E-4</v>
      </c>
      <c r="S102" s="2"/>
      <c r="T102" s="2">
        <f>SUM(OSRRefT22_11x_0)</f>
        <v>5550</v>
      </c>
      <c r="U102" s="2"/>
      <c r="V102" s="6">
        <f t="shared" si="25"/>
        <v>5.5492142312648534E-4</v>
      </c>
      <c r="W102" s="2"/>
      <c r="X102" s="2">
        <f t="shared" si="26"/>
        <v>1175.0600000000004</v>
      </c>
      <c r="Y102" s="2"/>
      <c r="Z102" s="6">
        <f t="shared" si="27"/>
        <v>0.2117225225225226</v>
      </c>
    </row>
    <row r="103" spans="1:26" s="70" customFormat="1" ht="15" hidden="1" customHeight="1" outlineLevel="2" x14ac:dyDescent="0.3">
      <c r="A103" s="26"/>
      <c r="B103" s="12" t="str">
        <f>CONCATENATE("          ","6276"," - ","PROPERTY TAX")</f>
        <v xml:space="preserve">          6276 - PROPERTY TAX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/>
      <c r="Q103" s="3"/>
      <c r="R103" s="8">
        <f t="shared" si="24"/>
        <v>0</v>
      </c>
      <c r="S103" s="3"/>
      <c r="T103" s="7">
        <v>1250</v>
      </c>
      <c r="U103" s="3"/>
      <c r="V103" s="8">
        <f t="shared" si="25"/>
        <v>1.2498230250596515E-4</v>
      </c>
      <c r="W103" s="3"/>
      <c r="X103" s="7">
        <f t="shared" si="26"/>
        <v>-1250</v>
      </c>
      <c r="Y103" s="3"/>
      <c r="Z103" s="8">
        <f t="shared" si="27"/>
        <v>-1</v>
      </c>
    </row>
    <row r="104" spans="1:26" s="70" customFormat="1" ht="15" hidden="1" customHeight="1" outlineLevel="2" x14ac:dyDescent="0.3">
      <c r="A104" s="26"/>
      <c r="B104" s="12" t="str">
        <f>CONCATENATE("          ","6279"," - ","GENERAL EXPENSE")</f>
        <v xml:space="preserve">          6279 - GENERAL EXPENSE</v>
      </c>
      <c r="C104" s="12"/>
      <c r="D104" s="7">
        <v>778.61</v>
      </c>
      <c r="E104" s="3"/>
      <c r="F104" s="8">
        <f t="shared" si="20"/>
        <v>6.5238847446637445E-4</v>
      </c>
      <c r="G104" s="3"/>
      <c r="H104" s="7">
        <v>730</v>
      </c>
      <c r="I104" s="3"/>
      <c r="J104" s="8">
        <f t="shared" si="21"/>
        <v>1.3050349320309204E-3</v>
      </c>
      <c r="K104" s="3"/>
      <c r="L104" s="7">
        <f t="shared" si="22"/>
        <v>48.610000000000014</v>
      </c>
      <c r="M104" s="3"/>
      <c r="N104" s="8">
        <f t="shared" si="23"/>
        <v>6.6589041095890436E-2</v>
      </c>
      <c r="O104" s="12"/>
      <c r="P104" s="7">
        <v>6725.06</v>
      </c>
      <c r="Q104" s="3"/>
      <c r="R104" s="8">
        <f t="shared" si="24"/>
        <v>7.7014663520657742E-4</v>
      </c>
      <c r="S104" s="3"/>
      <c r="T104" s="7">
        <v>4300</v>
      </c>
      <c r="U104" s="3"/>
      <c r="V104" s="8">
        <f t="shared" si="25"/>
        <v>4.2993912062052014E-4</v>
      </c>
      <c r="W104" s="3"/>
      <c r="X104" s="7">
        <f t="shared" si="26"/>
        <v>2425.0600000000004</v>
      </c>
      <c r="Y104" s="3"/>
      <c r="Z104" s="8">
        <f t="shared" si="27"/>
        <v>0.56396744186046521</v>
      </c>
    </row>
    <row r="105" spans="1:26" s="69" customFormat="1" ht="15" customHeight="1" outlineLevel="1" collapsed="1" x14ac:dyDescent="0.3">
      <c r="A105" s="25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5494.57</v>
      </c>
      <c r="E105" s="2"/>
      <c r="F105" s="6">
        <f t="shared" si="20"/>
        <v>4.6038377880437019E-3</v>
      </c>
      <c r="G105" s="2"/>
      <c r="H105" s="2">
        <f>SUM(OSRRefH22_12x_0)</f>
        <v>5375</v>
      </c>
      <c r="I105" s="2"/>
      <c r="J105" s="6">
        <f t="shared" si="21"/>
        <v>9.6089900817345163E-3</v>
      </c>
      <c r="K105" s="2"/>
      <c r="L105" s="2">
        <f t="shared" si="22"/>
        <v>119.56999999999971</v>
      </c>
      <c r="M105" s="2"/>
      <c r="N105" s="6">
        <f t="shared" si="23"/>
        <v>2.2245581395348782E-2</v>
      </c>
      <c r="O105" s="14"/>
      <c r="P105" s="2">
        <f>SUM(OSRRefP22_12x_0)</f>
        <v>54945.7</v>
      </c>
      <c r="Q105" s="2"/>
      <c r="R105" s="6">
        <f t="shared" si="24"/>
        <v>6.2923224438250422E-3</v>
      </c>
      <c r="S105" s="2"/>
      <c r="T105" s="2">
        <f>SUM(OSRRefT22_12x_0)</f>
        <v>53750</v>
      </c>
      <c r="U105" s="2"/>
      <c r="V105" s="6">
        <f t="shared" si="25"/>
        <v>5.3742390077565014E-3</v>
      </c>
      <c r="W105" s="2"/>
      <c r="X105" s="2">
        <f t="shared" si="26"/>
        <v>1195.6999999999971</v>
      </c>
      <c r="Y105" s="2"/>
      <c r="Z105" s="6">
        <f t="shared" si="27"/>
        <v>2.2245581395348782E-2</v>
      </c>
    </row>
    <row r="106" spans="1:26" s="70" customFormat="1" ht="15" hidden="1" customHeight="1" outlineLevel="2" x14ac:dyDescent="0.3">
      <c r="A106" s="26"/>
      <c r="B106" s="12" t="str">
        <f>CONCATENATE("          ","6314"," - ","LIABILITY INSURANCE")</f>
        <v xml:space="preserve">          6314 - LIABILITY INSURANCE</v>
      </c>
      <c r="C106" s="12"/>
      <c r="D106" s="7">
        <v>5494.57</v>
      </c>
      <c r="E106" s="3"/>
      <c r="F106" s="8">
        <f t="shared" si="20"/>
        <v>4.6038377880437019E-3</v>
      </c>
      <c r="G106" s="3"/>
      <c r="H106" s="7">
        <v>5375</v>
      </c>
      <c r="I106" s="3"/>
      <c r="J106" s="8">
        <f t="shared" si="21"/>
        <v>9.6089900817345163E-3</v>
      </c>
      <c r="K106" s="3"/>
      <c r="L106" s="7">
        <f t="shared" si="22"/>
        <v>119.56999999999971</v>
      </c>
      <c r="M106" s="3"/>
      <c r="N106" s="8">
        <f t="shared" si="23"/>
        <v>2.2245581395348782E-2</v>
      </c>
      <c r="O106" s="12"/>
      <c r="P106" s="7">
        <v>54945.7</v>
      </c>
      <c r="Q106" s="3"/>
      <c r="R106" s="8">
        <f t="shared" si="24"/>
        <v>6.2923224438250422E-3</v>
      </c>
      <c r="S106" s="3"/>
      <c r="T106" s="7">
        <v>53750</v>
      </c>
      <c r="U106" s="3"/>
      <c r="V106" s="8">
        <f t="shared" si="25"/>
        <v>5.3742390077565014E-3</v>
      </c>
      <c r="W106" s="3"/>
      <c r="X106" s="7">
        <f t="shared" si="26"/>
        <v>1195.6999999999971</v>
      </c>
      <c r="Y106" s="3"/>
      <c r="Z106" s="8">
        <f t="shared" si="27"/>
        <v>2.2245581395348782E-2</v>
      </c>
    </row>
    <row r="107" spans="1:26" s="69" customFormat="1" ht="15" customHeight="1" outlineLevel="1" collapsed="1" x14ac:dyDescent="0.3">
      <c r="A107" s="25"/>
      <c r="B107" s="14" t="str">
        <f>CONCATENATE("     ","Inventory Adjustment                              ")</f>
        <v xml:space="preserve">     Inventory Adjustment                              </v>
      </c>
      <c r="C107" s="14"/>
      <c r="D107" s="2">
        <f>SUM(OSRRefD22_13x_0)</f>
        <v>6200</v>
      </c>
      <c r="E107" s="2"/>
      <c r="F107" s="6">
        <f t="shared" si="20"/>
        <v>5.1949095717901406E-3</v>
      </c>
      <c r="G107" s="2"/>
      <c r="H107" s="2">
        <f>SUM(OSRRefH22_13x_0)</f>
        <v>6200</v>
      </c>
      <c r="I107" s="2"/>
      <c r="J107" s="6">
        <f t="shared" si="21"/>
        <v>1.1083858326837955E-2</v>
      </c>
      <c r="K107" s="2"/>
      <c r="L107" s="2">
        <f t="shared" si="22"/>
        <v>0</v>
      </c>
      <c r="M107" s="2"/>
      <c r="N107" s="6">
        <f t="shared" si="23"/>
        <v>0</v>
      </c>
      <c r="O107" s="14"/>
      <c r="P107" s="2">
        <f>SUM(OSRRefP22_13x_0)</f>
        <v>63640</v>
      </c>
      <c r="Q107" s="2"/>
      <c r="R107" s="6">
        <f t="shared" si="24"/>
        <v>7.2879843249794921E-3</v>
      </c>
      <c r="S107" s="2"/>
      <c r="T107" s="2">
        <f>SUM(OSRRefT22_13x_0)</f>
        <v>64350</v>
      </c>
      <c r="U107" s="2"/>
      <c r="V107" s="6">
        <f t="shared" si="25"/>
        <v>6.4340889330070858E-3</v>
      </c>
      <c r="W107" s="2"/>
      <c r="X107" s="2">
        <f t="shared" si="26"/>
        <v>-710</v>
      </c>
      <c r="Y107" s="2"/>
      <c r="Z107" s="6">
        <f t="shared" si="27"/>
        <v>-1.1033411033411034E-2</v>
      </c>
    </row>
    <row r="108" spans="1:26" s="70" customFormat="1" ht="15" hidden="1" customHeight="1" outlineLevel="2" x14ac:dyDescent="0.3">
      <c r="A108" s="26"/>
      <c r="B108" s="12" t="str">
        <f>CONCATENATE("          ","6408"," - ","INVENTORY ADJUSTMENT")</f>
        <v xml:space="preserve">          6408 - INVENTORY ADJUSTMENT</v>
      </c>
      <c r="C108" s="12"/>
      <c r="D108" s="7">
        <v>6200</v>
      </c>
      <c r="E108" s="3"/>
      <c r="F108" s="8">
        <f t="shared" si="20"/>
        <v>5.1949095717901406E-3</v>
      </c>
      <c r="G108" s="3"/>
      <c r="H108" s="7">
        <v>6200</v>
      </c>
      <c r="I108" s="3"/>
      <c r="J108" s="8">
        <f t="shared" si="21"/>
        <v>1.1083858326837955E-2</v>
      </c>
      <c r="K108" s="3"/>
      <c r="L108" s="7">
        <f t="shared" si="22"/>
        <v>0</v>
      </c>
      <c r="M108" s="3"/>
      <c r="N108" s="8">
        <f t="shared" si="23"/>
        <v>0</v>
      </c>
      <c r="O108" s="12"/>
      <c r="P108" s="7">
        <v>63640</v>
      </c>
      <c r="Q108" s="3"/>
      <c r="R108" s="8">
        <f t="shared" si="24"/>
        <v>7.2879843249794921E-3</v>
      </c>
      <c r="S108" s="3"/>
      <c r="T108" s="7">
        <v>64350</v>
      </c>
      <c r="U108" s="3"/>
      <c r="V108" s="8">
        <f t="shared" si="25"/>
        <v>6.4340889330070858E-3</v>
      </c>
      <c r="W108" s="3"/>
      <c r="X108" s="7">
        <f t="shared" si="26"/>
        <v>-710</v>
      </c>
      <c r="Y108" s="3"/>
      <c r="Z108" s="8">
        <f t="shared" si="27"/>
        <v>-1.1033411033411034E-2</v>
      </c>
    </row>
    <row r="109" spans="1:26" s="69" customFormat="1" ht="15" customHeight="1" outlineLevel="1" collapsed="1" x14ac:dyDescent="0.3">
      <c r="A109" s="25"/>
      <c r="B109" s="14" t="str">
        <f>CONCATENATE("     ","Professional Services                             ")</f>
        <v xml:space="preserve">     Professional Services                             </v>
      </c>
      <c r="C109" s="14"/>
      <c r="D109" s="2">
        <f>SUM(OSRRefD22_14x_0)</f>
        <v>0</v>
      </c>
      <c r="E109" s="2"/>
      <c r="F109" s="6">
        <f t="shared" si="20"/>
        <v>0</v>
      </c>
      <c r="G109" s="2"/>
      <c r="H109" s="2">
        <f>SUM(OSRRefH22_14x_0)</f>
        <v>250</v>
      </c>
      <c r="I109" s="2"/>
      <c r="J109" s="6">
        <f t="shared" si="21"/>
        <v>4.4692977124346589E-4</v>
      </c>
      <c r="K109" s="2"/>
      <c r="L109" s="2">
        <f t="shared" si="22"/>
        <v>-250</v>
      </c>
      <c r="M109" s="2"/>
      <c r="N109" s="6">
        <f t="shared" si="23"/>
        <v>-1</v>
      </c>
      <c r="O109" s="14"/>
      <c r="P109" s="2">
        <f>SUM(OSRRefP22_14x_0)</f>
        <v>9626.5300000000007</v>
      </c>
      <c r="Q109" s="2"/>
      <c r="R109" s="6">
        <f t="shared" si="24"/>
        <v>1.1024198576986932E-3</v>
      </c>
      <c r="S109" s="2"/>
      <c r="T109" s="2">
        <f>SUM(OSRRefT22_14x_0)</f>
        <v>1750</v>
      </c>
      <c r="U109" s="2"/>
      <c r="V109" s="6">
        <f t="shared" si="25"/>
        <v>1.7497522350835122E-4</v>
      </c>
      <c r="W109" s="2"/>
      <c r="X109" s="2">
        <f t="shared" si="26"/>
        <v>7876.5300000000007</v>
      </c>
      <c r="Y109" s="2"/>
      <c r="Z109" s="6">
        <f t="shared" si="27"/>
        <v>4.5008742857142865</v>
      </c>
    </row>
    <row r="110" spans="1:26" s="70" customFormat="1" ht="15" hidden="1" customHeight="1" outlineLevel="2" x14ac:dyDescent="0.3">
      <c r="A110" s="26"/>
      <c r="B110" s="12" t="str">
        <f>CONCATENATE("          ","6336"," - ","PROFESSIONAL SERVICES")</f>
        <v xml:space="preserve">          6336 - PROFESSIONAL SERVICES</v>
      </c>
      <c r="C110" s="12"/>
      <c r="D110" s="7"/>
      <c r="E110" s="3"/>
      <c r="F110" s="8">
        <f t="shared" si="20"/>
        <v>0</v>
      </c>
      <c r="G110" s="3"/>
      <c r="H110" s="7">
        <v>250</v>
      </c>
      <c r="I110" s="3"/>
      <c r="J110" s="8">
        <f t="shared" si="21"/>
        <v>4.4692977124346589E-4</v>
      </c>
      <c r="K110" s="3"/>
      <c r="L110" s="7">
        <f t="shared" si="22"/>
        <v>-250</v>
      </c>
      <c r="M110" s="3"/>
      <c r="N110" s="8">
        <f t="shared" si="23"/>
        <v>-1</v>
      </c>
      <c r="O110" s="12"/>
      <c r="P110" s="7">
        <v>9626.5300000000007</v>
      </c>
      <c r="Q110" s="3"/>
      <c r="R110" s="8">
        <f t="shared" si="24"/>
        <v>1.1024198576986932E-3</v>
      </c>
      <c r="S110" s="3"/>
      <c r="T110" s="7">
        <v>1750</v>
      </c>
      <c r="U110" s="3"/>
      <c r="V110" s="8">
        <f t="shared" si="25"/>
        <v>1.7497522350835122E-4</v>
      </c>
      <c r="W110" s="3"/>
      <c r="X110" s="7">
        <f t="shared" si="26"/>
        <v>7876.5300000000007</v>
      </c>
      <c r="Y110" s="3"/>
      <c r="Z110" s="8">
        <f t="shared" si="27"/>
        <v>4.5008742857142865</v>
      </c>
    </row>
    <row r="111" spans="1:26" s="69" customFormat="1" ht="15" customHeight="1" outlineLevel="1" collapsed="1" x14ac:dyDescent="0.3">
      <c r="A111" s="25"/>
      <c r="B111" s="14" t="str">
        <f>CONCATENATE("     ","Rent                                              ")</f>
        <v xml:space="preserve">     Rent                                              </v>
      </c>
      <c r="C111" s="14"/>
      <c r="D111" s="2">
        <f>SUM(OSRRefD22_15x_0)</f>
        <v>6100</v>
      </c>
      <c r="E111" s="2"/>
      <c r="F111" s="6">
        <f t="shared" si="20"/>
        <v>5.1111207077290093E-3</v>
      </c>
      <c r="G111" s="2"/>
      <c r="H111" s="2">
        <f>SUM(OSRRefH22_15x_0)</f>
        <v>6100</v>
      </c>
      <c r="I111" s="2"/>
      <c r="J111" s="6">
        <f t="shared" si="21"/>
        <v>1.0905086418340568E-2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SUM(OSRRefP22_15x_0)</f>
        <v>61000</v>
      </c>
      <c r="Q111" s="2"/>
      <c r="R111" s="6">
        <f t="shared" si="24"/>
        <v>6.9856543655523106E-3</v>
      </c>
      <c r="S111" s="2"/>
      <c r="T111" s="2">
        <f>SUM(OSRRefT22_15x_0)</f>
        <v>61000</v>
      </c>
      <c r="U111" s="2"/>
      <c r="V111" s="6">
        <f t="shared" si="25"/>
        <v>6.0991363622910997E-3</v>
      </c>
      <c r="W111" s="2"/>
      <c r="X111" s="2">
        <f t="shared" si="26"/>
        <v>0</v>
      </c>
      <c r="Y111" s="2"/>
      <c r="Z111" s="6">
        <f t="shared" si="27"/>
        <v>0</v>
      </c>
    </row>
    <row r="112" spans="1:26" s="70" customFormat="1" ht="15" hidden="1" customHeight="1" outlineLevel="2" x14ac:dyDescent="0.3">
      <c r="A112" s="26"/>
      <c r="B112" s="12" t="str">
        <f>CONCATENATE("          ","6273"," - ","RENT")</f>
        <v xml:space="preserve">          6273 - RENT</v>
      </c>
      <c r="C112" s="12"/>
      <c r="D112" s="7">
        <v>6100</v>
      </c>
      <c r="E112" s="3"/>
      <c r="F112" s="8">
        <f t="shared" si="20"/>
        <v>5.1111207077290093E-3</v>
      </c>
      <c r="G112" s="3"/>
      <c r="H112" s="7">
        <v>6100</v>
      </c>
      <c r="I112" s="3"/>
      <c r="J112" s="8">
        <f t="shared" si="21"/>
        <v>1.0905086418340568E-2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>
        <v>61000</v>
      </c>
      <c r="Q112" s="3"/>
      <c r="R112" s="8">
        <f t="shared" si="24"/>
        <v>6.9856543655523106E-3</v>
      </c>
      <c r="S112" s="3"/>
      <c r="T112" s="7">
        <v>61000</v>
      </c>
      <c r="U112" s="3"/>
      <c r="V112" s="8">
        <f t="shared" si="25"/>
        <v>6.0991363622910997E-3</v>
      </c>
      <c r="W112" s="3"/>
      <c r="X112" s="7">
        <f t="shared" si="26"/>
        <v>0</v>
      </c>
      <c r="Y112" s="3"/>
      <c r="Z112" s="8">
        <f t="shared" si="27"/>
        <v>0</v>
      </c>
    </row>
    <row r="113" spans="1:26" s="69" customFormat="1" ht="15" customHeight="1" outlineLevel="1" collapsed="1" x14ac:dyDescent="0.3">
      <c r="A113" s="25"/>
      <c r="B113" s="14" t="str">
        <f>CONCATENATE("     ","Repair and Maintenance                            ")</f>
        <v xml:space="preserve">     Repair and Maintenance                            </v>
      </c>
      <c r="C113" s="14"/>
      <c r="D113" s="2">
        <f>SUM(OSRRefD22_16x_0)</f>
        <v>6647.7800000000007</v>
      </c>
      <c r="E113" s="2"/>
      <c r="F113" s="6">
        <f t="shared" si="20"/>
        <v>5.5700993472830749E-3</v>
      </c>
      <c r="G113" s="2"/>
      <c r="H113" s="2">
        <f>SUM(OSRRefH22_16x_0)</f>
        <v>10745</v>
      </c>
      <c r="I113" s="2"/>
      <c r="J113" s="6">
        <f t="shared" si="21"/>
        <v>1.9209041568044163E-2</v>
      </c>
      <c r="K113" s="2"/>
      <c r="L113" s="2">
        <f t="shared" si="22"/>
        <v>-4097.2199999999993</v>
      </c>
      <c r="M113" s="2"/>
      <c r="N113" s="6">
        <f t="shared" si="23"/>
        <v>-0.38131409958120049</v>
      </c>
      <c r="O113" s="14"/>
      <c r="P113" s="2">
        <f>SUM(OSRRefP22_16x_0)</f>
        <v>138560.46</v>
      </c>
      <c r="Q113" s="2"/>
      <c r="R113" s="6">
        <f t="shared" si="24"/>
        <v>1.5867794791671084E-2</v>
      </c>
      <c r="S113" s="2"/>
      <c r="T113" s="2">
        <f>SUM(OSRRefT22_16x_0)</f>
        <v>158270</v>
      </c>
      <c r="U113" s="2"/>
      <c r="V113" s="6">
        <f t="shared" si="25"/>
        <v>1.5824759214095284E-2</v>
      </c>
      <c r="W113" s="2"/>
      <c r="X113" s="2">
        <f t="shared" si="26"/>
        <v>-19709.540000000008</v>
      </c>
      <c r="Y113" s="2"/>
      <c r="Z113" s="6">
        <f t="shared" si="27"/>
        <v>-0.12453111771024204</v>
      </c>
    </row>
    <row r="114" spans="1:26" s="70" customFormat="1" ht="15" hidden="1" customHeight="1" outlineLevel="2" x14ac:dyDescent="0.3">
      <c r="A114" s="26"/>
      <c r="B114" s="12" t="str">
        <f>CONCATENATE("          ","6371"," - ","COMPUTER SOFTWARE MAINTENANCE")</f>
        <v xml:space="preserve">          6371 - COMPUTER SOFTWARE MAINTENANCE</v>
      </c>
      <c r="C114" s="12"/>
      <c r="D114" s="7"/>
      <c r="E114" s="3"/>
      <c r="F114" s="8">
        <f t="shared" si="20"/>
        <v>0</v>
      </c>
      <c r="G114" s="3"/>
      <c r="H114" s="7">
        <v>1000</v>
      </c>
      <c r="I114" s="3"/>
      <c r="J114" s="8">
        <f t="shared" si="21"/>
        <v>1.7877190849738636E-3</v>
      </c>
      <c r="K114" s="3"/>
      <c r="L114" s="7">
        <f t="shared" si="22"/>
        <v>-1000</v>
      </c>
      <c r="M114" s="3"/>
      <c r="N114" s="8">
        <f t="shared" si="23"/>
        <v>-1</v>
      </c>
      <c r="O114" s="12"/>
      <c r="P114" s="7">
        <v>64061</v>
      </c>
      <c r="Q114" s="3"/>
      <c r="R114" s="8">
        <f t="shared" si="24"/>
        <v>7.336196791994206E-3</v>
      </c>
      <c r="S114" s="3"/>
      <c r="T114" s="7">
        <v>49100</v>
      </c>
      <c r="U114" s="3"/>
      <c r="V114" s="8">
        <f t="shared" si="25"/>
        <v>4.9093048424343113E-3</v>
      </c>
      <c r="W114" s="3"/>
      <c r="X114" s="7">
        <f t="shared" si="26"/>
        <v>14961</v>
      </c>
      <c r="Y114" s="3"/>
      <c r="Z114" s="8">
        <f t="shared" si="27"/>
        <v>0.30470468431771897</v>
      </c>
    </row>
    <row r="115" spans="1:26" s="70" customFormat="1" ht="15" hidden="1" customHeight="1" outlineLevel="2" x14ac:dyDescent="0.3">
      <c r="A115" s="26"/>
      <c r="B115" s="12" t="str">
        <f>CONCATENATE("          ","6372"," - ","COMPUTER HARDWARE MAINTENANCE")</f>
        <v xml:space="preserve">          6372 - COMPUTER HARDWARE MAINTENANCE</v>
      </c>
      <c r="C115" s="12"/>
      <c r="D115" s="7"/>
      <c r="E115" s="3"/>
      <c r="F115" s="8">
        <f t="shared" si="20"/>
        <v>0</v>
      </c>
      <c r="G115" s="3"/>
      <c r="H115" s="7">
        <v>3750</v>
      </c>
      <c r="I115" s="3"/>
      <c r="J115" s="8">
        <f t="shared" si="21"/>
        <v>6.703946568651988E-3</v>
      </c>
      <c r="K115" s="3"/>
      <c r="L115" s="7">
        <f t="shared" si="22"/>
        <v>-3750</v>
      </c>
      <c r="M115" s="3"/>
      <c r="N115" s="8">
        <f t="shared" si="23"/>
        <v>-1</v>
      </c>
      <c r="O115" s="12"/>
      <c r="P115" s="7"/>
      <c r="Q115" s="3"/>
      <c r="R115" s="8">
        <f t="shared" si="24"/>
        <v>0</v>
      </c>
      <c r="S115" s="3"/>
      <c r="T115" s="7">
        <v>34120</v>
      </c>
      <c r="U115" s="3"/>
      <c r="V115" s="8">
        <f t="shared" si="25"/>
        <v>3.4115169292028248E-3</v>
      </c>
      <c r="W115" s="3"/>
      <c r="X115" s="7">
        <f t="shared" si="26"/>
        <v>-34120</v>
      </c>
      <c r="Y115" s="3"/>
      <c r="Z115" s="8">
        <f t="shared" si="27"/>
        <v>-1</v>
      </c>
    </row>
    <row r="116" spans="1:26" s="70" customFormat="1" ht="15" hidden="1" customHeight="1" outlineLevel="2" x14ac:dyDescent="0.3">
      <c r="A116" s="26"/>
      <c r="B116" s="12" t="str">
        <f>CONCATENATE("          ","6373"," - ","MAINTENANCE CONTRACTS")</f>
        <v xml:space="preserve">          6373 - MAINTENANCE CONTRACTS</v>
      </c>
      <c r="C116" s="12"/>
      <c r="D116" s="7">
        <v>800.18</v>
      </c>
      <c r="E116" s="3"/>
      <c r="F116" s="8">
        <f t="shared" si="20"/>
        <v>6.7046173244436039E-4</v>
      </c>
      <c r="G116" s="3"/>
      <c r="H116" s="7">
        <v>5955</v>
      </c>
      <c r="I116" s="3"/>
      <c r="J116" s="8">
        <f t="shared" si="21"/>
        <v>1.0645867151019357E-2</v>
      </c>
      <c r="K116" s="3"/>
      <c r="L116" s="7">
        <f t="shared" si="22"/>
        <v>-5154.82</v>
      </c>
      <c r="M116" s="3"/>
      <c r="N116" s="8">
        <f t="shared" si="23"/>
        <v>-0.86562888329135179</v>
      </c>
      <c r="O116" s="12"/>
      <c r="P116" s="7">
        <v>22371.7</v>
      </c>
      <c r="Q116" s="3"/>
      <c r="R116" s="8">
        <f t="shared" si="24"/>
        <v>2.5619830126201084E-3</v>
      </c>
      <c r="S116" s="3"/>
      <c r="T116" s="7">
        <v>74150</v>
      </c>
      <c r="U116" s="3"/>
      <c r="V116" s="8">
        <f t="shared" si="25"/>
        <v>7.4139501846538529E-3</v>
      </c>
      <c r="W116" s="3"/>
      <c r="X116" s="7">
        <f t="shared" si="26"/>
        <v>-51778.3</v>
      </c>
      <c r="Y116" s="3"/>
      <c r="Z116" s="8">
        <f t="shared" si="27"/>
        <v>-0.69829130141604856</v>
      </c>
    </row>
    <row r="117" spans="1:26" s="70" customFormat="1" ht="15" hidden="1" customHeight="1" outlineLevel="2" x14ac:dyDescent="0.3">
      <c r="A117" s="26"/>
      <c r="B117" s="12" t="str">
        <f>CONCATENATE("          ","6375"," - ","OUTSIDE REPAIRS &amp; MAINTENANCE")</f>
        <v xml:space="preserve">          6375 - OUTSIDE REPAIRS &amp; MAINTENANCE</v>
      </c>
      <c r="C117" s="12"/>
      <c r="D117" s="7">
        <v>5847.6</v>
      </c>
      <c r="E117" s="3"/>
      <c r="F117" s="8">
        <f t="shared" si="20"/>
        <v>4.8996376148387139E-3</v>
      </c>
      <c r="G117" s="3"/>
      <c r="H117" s="7">
        <v>40</v>
      </c>
      <c r="I117" s="3"/>
      <c r="J117" s="8">
        <f t="shared" si="21"/>
        <v>7.1508763398954545E-5</v>
      </c>
      <c r="K117" s="3"/>
      <c r="L117" s="7">
        <f t="shared" si="22"/>
        <v>5807.6</v>
      </c>
      <c r="M117" s="3"/>
      <c r="N117" s="8">
        <f t="shared" si="23"/>
        <v>145.19</v>
      </c>
      <c r="O117" s="12"/>
      <c r="P117" s="7">
        <v>52127.76</v>
      </c>
      <c r="Q117" s="3"/>
      <c r="R117" s="8">
        <f t="shared" si="24"/>
        <v>5.9696149870567721E-3</v>
      </c>
      <c r="S117" s="3"/>
      <c r="T117" s="7">
        <v>900</v>
      </c>
      <c r="U117" s="3"/>
      <c r="V117" s="8">
        <f t="shared" si="25"/>
        <v>8.9987257804294911E-5</v>
      </c>
      <c r="W117" s="3"/>
      <c r="X117" s="7">
        <f t="shared" si="26"/>
        <v>51227.76</v>
      </c>
      <c r="Y117" s="3"/>
      <c r="Z117" s="8">
        <f t="shared" si="27"/>
        <v>56.919733333333333</v>
      </c>
    </row>
    <row r="118" spans="1:26" s="69" customFormat="1" ht="15" customHeight="1" outlineLevel="1" collapsed="1" x14ac:dyDescent="0.3">
      <c r="A118" s="25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2">
        <f>SUM(OSRRefD22_17x_0)</f>
        <v>28886.6</v>
      </c>
      <c r="E118" s="2"/>
      <c r="F118" s="6">
        <f t="shared" si="20"/>
        <v>2.4203754005882754E-2</v>
      </c>
      <c r="G118" s="2"/>
      <c r="H118" s="2">
        <f>SUM(OSRRefH22_17x_0)</f>
        <v>17203</v>
      </c>
      <c r="I118" s="2"/>
      <c r="J118" s="6">
        <f t="shared" si="21"/>
        <v>3.0754131418805376E-2</v>
      </c>
      <c r="K118" s="2"/>
      <c r="L118" s="2">
        <f t="shared" si="22"/>
        <v>11683.599999999999</v>
      </c>
      <c r="M118" s="2"/>
      <c r="N118" s="6">
        <f t="shared" si="23"/>
        <v>0.67916061152124618</v>
      </c>
      <c r="O118" s="14"/>
      <c r="P118" s="2">
        <f>SUM(OSRRefP22_17x_0)</f>
        <v>81622.53</v>
      </c>
      <c r="Q118" s="2"/>
      <c r="R118" s="6">
        <f t="shared" si="24"/>
        <v>9.3473243118348259E-3</v>
      </c>
      <c r="S118" s="2"/>
      <c r="T118" s="2">
        <f>SUM(OSRRefT22_17x_0)</f>
        <v>89532</v>
      </c>
      <c r="U118" s="2"/>
      <c r="V118" s="6">
        <f t="shared" si="25"/>
        <v>8.9519324063712571E-3</v>
      </c>
      <c r="W118" s="2"/>
      <c r="X118" s="2">
        <f t="shared" si="26"/>
        <v>-7909.4700000000012</v>
      </c>
      <c r="Y118" s="2"/>
      <c r="Z118" s="6">
        <f t="shared" si="27"/>
        <v>-8.8342380377965435E-2</v>
      </c>
    </row>
    <row r="119" spans="1:26" s="70" customFormat="1" ht="15" hidden="1" customHeight="1" outlineLevel="2" x14ac:dyDescent="0.3">
      <c r="A119" s="26"/>
      <c r="B119" s="12" t="str">
        <f>CONCATENATE("          ","6252"," - ","ROYALTY DUE CSTV")</f>
        <v xml:space="preserve">          6252 - ROYALTY DUE CSTV</v>
      </c>
      <c r="C119" s="12"/>
      <c r="D119" s="7"/>
      <c r="E119" s="3"/>
      <c r="F119" s="8">
        <f t="shared" si="20"/>
        <v>0</v>
      </c>
      <c r="G119" s="3"/>
      <c r="H119" s="7">
        <v>948</v>
      </c>
      <c r="I119" s="3"/>
      <c r="J119" s="8">
        <f t="shared" si="21"/>
        <v>1.6947576925552227E-3</v>
      </c>
      <c r="K119" s="3"/>
      <c r="L119" s="7">
        <f t="shared" si="22"/>
        <v>-948</v>
      </c>
      <c r="M119" s="3"/>
      <c r="N119" s="8">
        <f t="shared" si="23"/>
        <v>-1</v>
      </c>
      <c r="O119" s="12"/>
      <c r="P119" s="7"/>
      <c r="Q119" s="3"/>
      <c r="R119" s="8">
        <f t="shared" si="24"/>
        <v>0</v>
      </c>
      <c r="S119" s="3"/>
      <c r="T119" s="7">
        <v>13530</v>
      </c>
      <c r="U119" s="3"/>
      <c r="V119" s="8">
        <f t="shared" si="25"/>
        <v>1.3528084423245668E-3</v>
      </c>
      <c r="W119" s="3"/>
      <c r="X119" s="7">
        <f t="shared" si="26"/>
        <v>-13530</v>
      </c>
      <c r="Y119" s="3"/>
      <c r="Z119" s="8">
        <f t="shared" si="27"/>
        <v>-1</v>
      </c>
    </row>
    <row r="120" spans="1:26" s="70" customFormat="1" ht="15" hidden="1" customHeight="1" outlineLevel="2" x14ac:dyDescent="0.3">
      <c r="A120" s="26"/>
      <c r="B120" s="12" t="str">
        <f>CONCATENATE("          ","6253"," - ","ROYALTY DUE ATHLETICS-LRG")</f>
        <v xml:space="preserve">          6253 - ROYALTY DUE ATHLETICS-LRG</v>
      </c>
      <c r="C120" s="12"/>
      <c r="D120" s="7">
        <v>15944.33</v>
      </c>
      <c r="E120" s="3"/>
      <c r="F120" s="8">
        <f t="shared" si="20"/>
        <v>1.3359572989158176E-2</v>
      </c>
      <c r="G120" s="3"/>
      <c r="H120" s="7">
        <v>14555</v>
      </c>
      <c r="I120" s="3"/>
      <c r="J120" s="8">
        <f t="shared" si="21"/>
        <v>2.6020251281794585E-2</v>
      </c>
      <c r="K120" s="3"/>
      <c r="L120" s="7">
        <f t="shared" si="22"/>
        <v>1389.33</v>
      </c>
      <c r="M120" s="3"/>
      <c r="N120" s="8">
        <f t="shared" si="23"/>
        <v>9.5453795946410167E-2</v>
      </c>
      <c r="O120" s="12"/>
      <c r="P120" s="7">
        <v>55165.49</v>
      </c>
      <c r="Q120" s="3"/>
      <c r="R120" s="8">
        <f t="shared" si="24"/>
        <v>6.3174925581365952E-3</v>
      </c>
      <c r="S120" s="3"/>
      <c r="T120" s="7">
        <v>38502</v>
      </c>
      <c r="U120" s="3"/>
      <c r="V120" s="8">
        <f t="shared" si="25"/>
        <v>3.8496548888677365E-3</v>
      </c>
      <c r="W120" s="3"/>
      <c r="X120" s="7">
        <f t="shared" si="26"/>
        <v>16663.489999999998</v>
      </c>
      <c r="Y120" s="3"/>
      <c r="Z120" s="8">
        <f t="shared" si="27"/>
        <v>0.4327954391979637</v>
      </c>
    </row>
    <row r="121" spans="1:26" s="70" customFormat="1" ht="15" hidden="1" customHeight="1" outlineLevel="2" x14ac:dyDescent="0.3">
      <c r="A121" s="26"/>
      <c r="B121" s="12" t="str">
        <f>CONCATENATE("          ","6254"," - ","ROYALTY &amp; COMMISSIONS")</f>
        <v xml:space="preserve">          6254 - ROYALTY &amp; COMMISSIONS</v>
      </c>
      <c r="C121" s="12"/>
      <c r="D121" s="7">
        <v>10897.24</v>
      </c>
      <c r="E121" s="3"/>
      <c r="F121" s="8">
        <f t="shared" si="20"/>
        <v>9.1306736100152247E-3</v>
      </c>
      <c r="G121" s="3"/>
      <c r="H121" s="7">
        <v>1000</v>
      </c>
      <c r="I121" s="3"/>
      <c r="J121" s="8">
        <f t="shared" si="21"/>
        <v>1.7877190849738636E-3</v>
      </c>
      <c r="K121" s="3"/>
      <c r="L121" s="7">
        <f t="shared" si="22"/>
        <v>9897.24</v>
      </c>
      <c r="M121" s="3"/>
      <c r="N121" s="8">
        <f t="shared" si="23"/>
        <v>9.89724</v>
      </c>
      <c r="O121" s="12"/>
      <c r="P121" s="7">
        <v>14406.39</v>
      </c>
      <c r="Q121" s="3"/>
      <c r="R121" s="8">
        <f t="shared" si="24"/>
        <v>1.6498042818909695E-3</v>
      </c>
      <c r="S121" s="3"/>
      <c r="T121" s="7">
        <v>3500</v>
      </c>
      <c r="U121" s="3"/>
      <c r="V121" s="8">
        <f t="shared" si="25"/>
        <v>3.4995044701670243E-4</v>
      </c>
      <c r="W121" s="3"/>
      <c r="X121" s="7">
        <f t="shared" si="26"/>
        <v>10906.39</v>
      </c>
      <c r="Y121" s="3"/>
      <c r="Z121" s="8">
        <f t="shared" si="27"/>
        <v>3.1161114285714282</v>
      </c>
    </row>
    <row r="122" spans="1:26" s="70" customFormat="1" ht="15" hidden="1" customHeight="1" outlineLevel="2" x14ac:dyDescent="0.3">
      <c r="A122" s="26"/>
      <c r="B122" s="12" t="str">
        <f>CONCATENATE("          ","6259"," - ","ROYALTY &amp; COMMISSIONS")</f>
        <v xml:space="preserve">          6259 - ROYALTY &amp; COMMISSIONS</v>
      </c>
      <c r="C122" s="12"/>
      <c r="D122" s="7">
        <v>2045.03</v>
      </c>
      <c r="E122" s="3"/>
      <c r="F122" s="8">
        <f t="shared" ref="F122:F148" si="28">IF(D$12=0,0,D122/D$12)</f>
        <v>1.7135074067093534E-3</v>
      </c>
      <c r="G122" s="3"/>
      <c r="H122" s="7">
        <v>700</v>
      </c>
      <c r="I122" s="3"/>
      <c r="J122" s="8">
        <f t="shared" ref="J122:J148" si="29">IF(H$12=0,0,H122/H$12)</f>
        <v>1.2514033594817045E-3</v>
      </c>
      <c r="K122" s="3"/>
      <c r="L122" s="7">
        <f t="shared" ref="L122:L148" si="30">+D122-H122</f>
        <v>1345.03</v>
      </c>
      <c r="M122" s="3"/>
      <c r="N122" s="8">
        <f t="shared" ref="N122:N148" si="31">IF(H122=0,0,L122/H122)</f>
        <v>1.9214714285714285</v>
      </c>
      <c r="O122" s="12"/>
      <c r="P122" s="7">
        <v>12050.65</v>
      </c>
      <c r="Q122" s="3"/>
      <c r="R122" s="8">
        <f t="shared" ref="R122:R148" si="32">IF(P$12=0,0,P122/P$12)</f>
        <v>1.3800274718072615E-3</v>
      </c>
      <c r="S122" s="3"/>
      <c r="T122" s="7">
        <v>34000</v>
      </c>
      <c r="U122" s="3"/>
      <c r="V122" s="8">
        <f t="shared" ref="V122:V148" si="33">IF(T$12=0,0,T122/T$12)</f>
        <v>3.3995186281622521E-3</v>
      </c>
      <c r="W122" s="3"/>
      <c r="X122" s="7">
        <f t="shared" ref="X122:X148" si="34">+P122-T122</f>
        <v>-21949.35</v>
      </c>
      <c r="Y122" s="3"/>
      <c r="Z122" s="8">
        <f t="shared" ref="Z122:Z148" si="35">IF(T122=0,0,X122/T122)</f>
        <v>-0.64556911764705882</v>
      </c>
    </row>
    <row r="123" spans="1:26" s="69" customFormat="1" ht="15" customHeight="1" outlineLevel="1" collapsed="1" x14ac:dyDescent="0.3">
      <c r="A123" s="25"/>
      <c r="B123" s="14" t="str">
        <f>CONCATENATE("     ","Services                                          ")</f>
        <v xml:space="preserve">     Services                                          </v>
      </c>
      <c r="C123" s="14"/>
      <c r="D123" s="2">
        <f>SUM(OSRRefD22_18x_0)</f>
        <v>4617.1299999999992</v>
      </c>
      <c r="E123" s="2"/>
      <c r="F123" s="6">
        <f t="shared" si="28"/>
        <v>3.8686407792257109E-3</v>
      </c>
      <c r="G123" s="2"/>
      <c r="H123" s="2">
        <f>SUM(OSRRefH22_18x_0)</f>
        <v>4360</v>
      </c>
      <c r="I123" s="2"/>
      <c r="J123" s="6">
        <f t="shared" si="29"/>
        <v>7.7944552104860449E-3</v>
      </c>
      <c r="K123" s="2"/>
      <c r="L123" s="2">
        <f t="shared" si="30"/>
        <v>257.1299999999992</v>
      </c>
      <c r="M123" s="2"/>
      <c r="N123" s="6">
        <f t="shared" si="31"/>
        <v>5.8974770642201649E-2</v>
      </c>
      <c r="O123" s="14"/>
      <c r="P123" s="2">
        <f>SUM(OSRRefP22_18x_0)</f>
        <v>56510.759999999995</v>
      </c>
      <c r="Q123" s="2"/>
      <c r="R123" s="6">
        <f t="shared" si="32"/>
        <v>6.4715514310603088E-3</v>
      </c>
      <c r="S123" s="2"/>
      <c r="T123" s="2">
        <f>SUM(OSRRefT22_18x_0)</f>
        <v>43780</v>
      </c>
      <c r="U123" s="2"/>
      <c r="V123" s="6">
        <f t="shared" si="33"/>
        <v>4.3773801629689232E-3</v>
      </c>
      <c r="W123" s="2"/>
      <c r="X123" s="2">
        <f t="shared" si="34"/>
        <v>12730.759999999995</v>
      </c>
      <c r="Y123" s="2"/>
      <c r="Z123" s="6">
        <f t="shared" si="35"/>
        <v>0.29078940155322053</v>
      </c>
    </row>
    <row r="124" spans="1:26" s="70" customFormat="1" ht="15" hidden="1" customHeight="1" outlineLevel="2" x14ac:dyDescent="0.3">
      <c r="A124" s="26"/>
      <c r="B124" s="12" t="str">
        <f>CONCATENATE("          ","6282"," - ","JANITORIAL/EXTERMINATOR EXPENS")</f>
        <v xml:space="preserve">          6282 - JANITORIAL/EXTERMINATOR EXPENS</v>
      </c>
      <c r="C124" s="12"/>
      <c r="D124" s="7">
        <v>209.65</v>
      </c>
      <c r="E124" s="3"/>
      <c r="F124" s="8">
        <f t="shared" si="28"/>
        <v>1.7566335350416176E-4</v>
      </c>
      <c r="G124" s="3"/>
      <c r="H124" s="7">
        <v>4300</v>
      </c>
      <c r="I124" s="3"/>
      <c r="J124" s="8">
        <f t="shared" si="29"/>
        <v>7.6871920653876135E-3</v>
      </c>
      <c r="K124" s="3"/>
      <c r="L124" s="7">
        <f t="shared" si="30"/>
        <v>-4090.35</v>
      </c>
      <c r="M124" s="3"/>
      <c r="N124" s="8">
        <f t="shared" si="31"/>
        <v>-0.95124418604651162</v>
      </c>
      <c r="O124" s="12"/>
      <c r="P124" s="7">
        <v>2963.28</v>
      </c>
      <c r="Q124" s="3"/>
      <c r="R124" s="8">
        <f t="shared" si="32"/>
        <v>3.3935163718612873E-4</v>
      </c>
      <c r="S124" s="3"/>
      <c r="T124" s="7">
        <v>43000</v>
      </c>
      <c r="U124" s="3"/>
      <c r="V124" s="8">
        <f t="shared" si="33"/>
        <v>4.299391206205201E-3</v>
      </c>
      <c r="W124" s="3"/>
      <c r="X124" s="7">
        <f t="shared" si="34"/>
        <v>-40036.720000000001</v>
      </c>
      <c r="Y124" s="3"/>
      <c r="Z124" s="8">
        <f t="shared" si="35"/>
        <v>-0.93108651162790701</v>
      </c>
    </row>
    <row r="125" spans="1:26" s="70" customFormat="1" ht="15" hidden="1" customHeight="1" outlineLevel="2" x14ac:dyDescent="0.3">
      <c r="A125" s="26"/>
      <c r="B125" s="12" t="str">
        <f>CONCATENATE("          ","6284"," - ","TRASH REMOVAL EXPENSE")</f>
        <v xml:space="preserve">          6284 - TRASH REMOVAL EXPENSE</v>
      </c>
      <c r="C125" s="12"/>
      <c r="D125" s="7"/>
      <c r="E125" s="3"/>
      <c r="F125" s="8">
        <f t="shared" si="28"/>
        <v>0</v>
      </c>
      <c r="G125" s="3"/>
      <c r="H125" s="7">
        <v>60</v>
      </c>
      <c r="I125" s="3"/>
      <c r="J125" s="8">
        <f t="shared" si="29"/>
        <v>1.0726314509843181E-4</v>
      </c>
      <c r="K125" s="3"/>
      <c r="L125" s="7">
        <f t="shared" si="30"/>
        <v>-60</v>
      </c>
      <c r="M125" s="3"/>
      <c r="N125" s="8">
        <f t="shared" si="31"/>
        <v>-1</v>
      </c>
      <c r="O125" s="12"/>
      <c r="P125" s="7">
        <v>1340.17</v>
      </c>
      <c r="Q125" s="3"/>
      <c r="R125" s="8">
        <f t="shared" si="32"/>
        <v>1.5347482641118426E-4</v>
      </c>
      <c r="S125" s="3"/>
      <c r="T125" s="7">
        <v>780</v>
      </c>
      <c r="U125" s="3"/>
      <c r="V125" s="8">
        <f t="shared" si="33"/>
        <v>7.7988956763722257E-5</v>
      </c>
      <c r="W125" s="3"/>
      <c r="X125" s="7">
        <f t="shared" si="34"/>
        <v>560.17000000000007</v>
      </c>
      <c r="Y125" s="3"/>
      <c r="Z125" s="8">
        <f t="shared" si="35"/>
        <v>0.71816666666666673</v>
      </c>
    </row>
    <row r="126" spans="1:26" s="70" customFormat="1" ht="15" hidden="1" customHeight="1" outlineLevel="2" x14ac:dyDescent="0.3">
      <c r="A126" s="26"/>
      <c r="B126" s="12" t="str">
        <f>CONCATENATE("          ","6285"," - ","JANITORIAL SERVICES")</f>
        <v xml:space="preserve">          6285 - JANITORIAL SERVICES</v>
      </c>
      <c r="C126" s="12"/>
      <c r="D126" s="7">
        <v>4407.4799999999996</v>
      </c>
      <c r="E126" s="3"/>
      <c r="F126" s="8">
        <f t="shared" si="28"/>
        <v>3.6929774257215492E-3</v>
      </c>
      <c r="G126" s="3"/>
      <c r="H126" s="7"/>
      <c r="I126" s="3"/>
      <c r="J126" s="8">
        <f t="shared" si="29"/>
        <v>0</v>
      </c>
      <c r="K126" s="3"/>
      <c r="L126" s="7">
        <f t="shared" si="30"/>
        <v>4407.4799999999996</v>
      </c>
      <c r="M126" s="3"/>
      <c r="N126" s="8">
        <f t="shared" si="31"/>
        <v>0</v>
      </c>
      <c r="O126" s="12"/>
      <c r="P126" s="7">
        <v>52207.31</v>
      </c>
      <c r="Q126" s="3"/>
      <c r="R126" s="8">
        <f t="shared" si="32"/>
        <v>5.9787249674629964E-3</v>
      </c>
      <c r="S126" s="3"/>
      <c r="T126" s="7"/>
      <c r="U126" s="3"/>
      <c r="V126" s="8">
        <f t="shared" si="33"/>
        <v>0</v>
      </c>
      <c r="W126" s="3"/>
      <c r="X126" s="7">
        <f t="shared" si="34"/>
        <v>52207.31</v>
      </c>
      <c r="Y126" s="3"/>
      <c r="Z126" s="8">
        <f t="shared" si="35"/>
        <v>0</v>
      </c>
    </row>
    <row r="127" spans="1:26" s="69" customFormat="1" ht="15" customHeight="1" outlineLevel="1" collapsed="1" x14ac:dyDescent="0.3">
      <c r="A127" s="25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SUM(OSRRefD22_19x_0)</f>
        <v>2418.29</v>
      </c>
      <c r="E127" s="2"/>
      <c r="F127" s="6">
        <f t="shared" si="28"/>
        <v>2.0262577207039319E-3</v>
      </c>
      <c r="G127" s="2"/>
      <c r="H127" s="2">
        <f>SUM(OSRRefH22_19x_0)</f>
        <v>1461</v>
      </c>
      <c r="I127" s="2"/>
      <c r="J127" s="6">
        <f t="shared" si="29"/>
        <v>2.6118575831468147E-3</v>
      </c>
      <c r="K127" s="2"/>
      <c r="L127" s="2">
        <f t="shared" si="30"/>
        <v>957.29</v>
      </c>
      <c r="M127" s="2"/>
      <c r="N127" s="6">
        <f t="shared" si="31"/>
        <v>0.65522929500342231</v>
      </c>
      <c r="O127" s="14"/>
      <c r="P127" s="2">
        <f>SUM(OSRRefP22_19x_0)</f>
        <v>4895.9400000000005</v>
      </c>
      <c r="Q127" s="2"/>
      <c r="R127" s="6">
        <f t="shared" si="32"/>
        <v>5.6067778089315048E-4</v>
      </c>
      <c r="S127" s="2"/>
      <c r="T127" s="2">
        <f>SUM(OSRRefT22_19x_0)</f>
        <v>12405</v>
      </c>
      <c r="U127" s="2"/>
      <c r="V127" s="6">
        <f t="shared" si="33"/>
        <v>1.2403243700691983E-3</v>
      </c>
      <c r="W127" s="2"/>
      <c r="X127" s="2">
        <f t="shared" si="34"/>
        <v>-7509.0599999999995</v>
      </c>
      <c r="Y127" s="2"/>
      <c r="Z127" s="6">
        <f t="shared" si="35"/>
        <v>-0.60532527206771458</v>
      </c>
    </row>
    <row r="128" spans="1:26" s="70" customFormat="1" ht="15" hidden="1" customHeight="1" outlineLevel="2" x14ac:dyDescent="0.3">
      <c r="A128" s="26"/>
      <c r="B128" s="12" t="str">
        <f>CONCATENATE("          ","6258"," - ","MEMBERSHIP DUES")</f>
        <v xml:space="preserve">          6258 - MEMBERSHIP DUES</v>
      </c>
      <c r="C128" s="12"/>
      <c r="D128" s="7">
        <v>510.65</v>
      </c>
      <c r="E128" s="3"/>
      <c r="F128" s="8">
        <f t="shared" si="28"/>
        <v>4.2786783432816695E-4</v>
      </c>
      <c r="G128" s="3"/>
      <c r="H128" s="7">
        <v>1300</v>
      </c>
      <c r="I128" s="3"/>
      <c r="J128" s="8">
        <f t="shared" si="29"/>
        <v>2.3240348104660224E-3</v>
      </c>
      <c r="K128" s="3"/>
      <c r="L128" s="7">
        <f t="shared" si="30"/>
        <v>-789.35</v>
      </c>
      <c r="M128" s="3"/>
      <c r="N128" s="8">
        <f t="shared" si="31"/>
        <v>-0.6071923076923077</v>
      </c>
      <c r="O128" s="12"/>
      <c r="P128" s="7">
        <v>2988.3</v>
      </c>
      <c r="Q128" s="3"/>
      <c r="R128" s="8">
        <f t="shared" si="32"/>
        <v>3.4221690066524541E-4</v>
      </c>
      <c r="S128" s="3"/>
      <c r="T128" s="7">
        <v>9395</v>
      </c>
      <c r="U128" s="3"/>
      <c r="V128" s="8">
        <f t="shared" si="33"/>
        <v>9.3936698563483413E-4</v>
      </c>
      <c r="W128" s="3"/>
      <c r="X128" s="7">
        <f t="shared" si="34"/>
        <v>-6406.7</v>
      </c>
      <c r="Y128" s="3"/>
      <c r="Z128" s="8">
        <f t="shared" si="35"/>
        <v>-0.68192655667908464</v>
      </c>
    </row>
    <row r="129" spans="1:26" s="70" customFormat="1" ht="15" hidden="1" customHeight="1" outlineLevel="2" x14ac:dyDescent="0.3">
      <c r="A129" s="26"/>
      <c r="B129" s="12" t="str">
        <f>CONCATENATE("          ","6275"," - ","SUBSCRIPTIONS")</f>
        <v xml:space="preserve">          6275 - SUBSCRIPTIONS</v>
      </c>
      <c r="C129" s="12"/>
      <c r="D129" s="7">
        <v>1907.64</v>
      </c>
      <c r="E129" s="3"/>
      <c r="F129" s="8">
        <f t="shared" si="28"/>
        <v>1.5983898863757651E-3</v>
      </c>
      <c r="G129" s="3"/>
      <c r="H129" s="7">
        <v>161</v>
      </c>
      <c r="I129" s="3"/>
      <c r="J129" s="8">
        <f t="shared" si="29"/>
        <v>2.8782277268079204E-4</v>
      </c>
      <c r="K129" s="3"/>
      <c r="L129" s="7">
        <f t="shared" si="30"/>
        <v>1746.64</v>
      </c>
      <c r="M129" s="3"/>
      <c r="N129" s="8">
        <f t="shared" si="31"/>
        <v>10.848695652173914</v>
      </c>
      <c r="O129" s="12"/>
      <c r="P129" s="7">
        <v>1907.64</v>
      </c>
      <c r="Q129" s="3"/>
      <c r="R129" s="8">
        <f t="shared" si="32"/>
        <v>2.1846088022790507E-4</v>
      </c>
      <c r="S129" s="3"/>
      <c r="T129" s="7">
        <v>3010</v>
      </c>
      <c r="U129" s="3"/>
      <c r="V129" s="8">
        <f t="shared" si="33"/>
        <v>3.0095738443436409E-4</v>
      </c>
      <c r="W129" s="3"/>
      <c r="X129" s="7">
        <f t="shared" si="34"/>
        <v>-1102.3599999999999</v>
      </c>
      <c r="Y129" s="3"/>
      <c r="Z129" s="8">
        <f t="shared" si="35"/>
        <v>-0.36623255813953487</v>
      </c>
    </row>
    <row r="130" spans="1:26" s="69" customFormat="1" ht="15" customHeight="1" outlineLevel="1" collapsed="1" x14ac:dyDescent="0.3">
      <c r="A130" s="25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SUM(OSRRefD22_20x_0)</f>
        <v>12834.929999999998</v>
      </c>
      <c r="E130" s="2"/>
      <c r="F130" s="6">
        <f t="shared" si="28"/>
        <v>1.0754242050041357E-2</v>
      </c>
      <c r="G130" s="2"/>
      <c r="H130" s="2">
        <f>SUM(OSRRefH22_20x_0)</f>
        <v>11290</v>
      </c>
      <c r="I130" s="2"/>
      <c r="J130" s="6">
        <f t="shared" si="29"/>
        <v>2.018334846935492E-2</v>
      </c>
      <c r="K130" s="2"/>
      <c r="L130" s="2">
        <f t="shared" si="30"/>
        <v>1544.9299999999985</v>
      </c>
      <c r="M130" s="2"/>
      <c r="N130" s="6">
        <f t="shared" si="31"/>
        <v>0.13684056687333909</v>
      </c>
      <c r="O130" s="14"/>
      <c r="P130" s="2">
        <f>SUM(OSRRefP22_20x_0)</f>
        <v>102744.42</v>
      </c>
      <c r="Q130" s="2"/>
      <c r="R130" s="6">
        <f t="shared" si="32"/>
        <v>1.1766180428018689E-2</v>
      </c>
      <c r="S130" s="2"/>
      <c r="T130" s="2">
        <f>SUM(OSRRefT22_20x_0)</f>
        <v>113530</v>
      </c>
      <c r="U130" s="2"/>
      <c r="V130" s="6">
        <f t="shared" si="33"/>
        <v>1.1351392642801779E-2</v>
      </c>
      <c r="W130" s="2"/>
      <c r="X130" s="2">
        <f t="shared" si="34"/>
        <v>-10785.580000000002</v>
      </c>
      <c r="Y130" s="2"/>
      <c r="Z130" s="6">
        <f t="shared" si="35"/>
        <v>-9.5002025896238892E-2</v>
      </c>
    </row>
    <row r="131" spans="1:26" s="70" customFormat="1" ht="15" hidden="1" customHeight="1" outlineLevel="2" x14ac:dyDescent="0.3">
      <c r="A131" s="26"/>
      <c r="B131" s="12" t="str">
        <f>CONCATENATE("          ","6234"," - ","EXPENDABLE SUPPLIES &amp; EQUIPMEN")</f>
        <v xml:space="preserve">          6234 - EXPENDABLE SUPPLIES &amp; EQUIPMEN</v>
      </c>
      <c r="C131" s="12"/>
      <c r="D131" s="7">
        <v>4993.3100000000004</v>
      </c>
      <c r="E131" s="3"/>
      <c r="F131" s="8">
        <f t="shared" si="28"/>
        <v>4.1838377280508758E-3</v>
      </c>
      <c r="G131" s="3"/>
      <c r="H131" s="7">
        <v>300</v>
      </c>
      <c r="I131" s="3"/>
      <c r="J131" s="8">
        <f t="shared" si="29"/>
        <v>5.3631572549215907E-4</v>
      </c>
      <c r="K131" s="3"/>
      <c r="L131" s="7">
        <f t="shared" si="30"/>
        <v>4693.3100000000004</v>
      </c>
      <c r="M131" s="3"/>
      <c r="N131" s="8">
        <f t="shared" si="31"/>
        <v>15.644366666666668</v>
      </c>
      <c r="O131" s="12"/>
      <c r="P131" s="7">
        <v>10282.879999999999</v>
      </c>
      <c r="Q131" s="3"/>
      <c r="R131" s="8">
        <f t="shared" si="32"/>
        <v>1.1775843534827957E-3</v>
      </c>
      <c r="S131" s="3"/>
      <c r="T131" s="7">
        <v>2400</v>
      </c>
      <c r="U131" s="3"/>
      <c r="V131" s="8">
        <f t="shared" si="33"/>
        <v>2.3996602081145311E-4</v>
      </c>
      <c r="W131" s="3"/>
      <c r="X131" s="7">
        <f t="shared" si="34"/>
        <v>7882.8799999999992</v>
      </c>
      <c r="Y131" s="3"/>
      <c r="Z131" s="8">
        <f t="shared" si="35"/>
        <v>3.2845333333333331</v>
      </c>
    </row>
    <row r="132" spans="1:26" s="70" customFormat="1" ht="15" hidden="1" customHeight="1" outlineLevel="2" x14ac:dyDescent="0.3">
      <c r="A132" s="26"/>
      <c r="B132" s="12" t="str">
        <f>CONCATENATE("          ","6235"," - ","COVID-19 EXPENSES")</f>
        <v xml:space="preserve">          6235 - COVID-19 EXPENSES</v>
      </c>
      <c r="C132" s="12"/>
      <c r="D132" s="7"/>
      <c r="E132" s="3"/>
      <c r="F132" s="8">
        <f t="shared" si="28"/>
        <v>0</v>
      </c>
      <c r="G132" s="3"/>
      <c r="H132" s="7">
        <v>125</v>
      </c>
      <c r="I132" s="3"/>
      <c r="J132" s="8">
        <f t="shared" si="29"/>
        <v>2.2346488562173295E-4</v>
      </c>
      <c r="K132" s="3"/>
      <c r="L132" s="7">
        <f t="shared" si="30"/>
        <v>-125</v>
      </c>
      <c r="M132" s="3"/>
      <c r="N132" s="8">
        <f t="shared" si="31"/>
        <v>-1</v>
      </c>
      <c r="O132" s="12"/>
      <c r="P132" s="7">
        <v>3430.32</v>
      </c>
      <c r="Q132" s="3"/>
      <c r="R132" s="8">
        <f t="shared" si="32"/>
        <v>3.9283655546297383E-4</v>
      </c>
      <c r="S132" s="3"/>
      <c r="T132" s="7">
        <v>1250</v>
      </c>
      <c r="U132" s="3"/>
      <c r="V132" s="8">
        <f t="shared" si="33"/>
        <v>1.2498230250596515E-4</v>
      </c>
      <c r="W132" s="3"/>
      <c r="X132" s="7">
        <f t="shared" si="34"/>
        <v>2180.3200000000002</v>
      </c>
      <c r="Y132" s="3"/>
      <c r="Z132" s="8">
        <f t="shared" si="35"/>
        <v>1.744256</v>
      </c>
    </row>
    <row r="133" spans="1:26" s="70" customFormat="1" ht="15" hidden="1" customHeight="1" outlineLevel="2" x14ac:dyDescent="0.3">
      <c r="A133" s="26"/>
      <c r="B133" s="12" t="str">
        <f>CONCATENATE("          ","6237"," - ","JANITORIAL SUPPLIES")</f>
        <v xml:space="preserve">          6237 - JANITORIAL SUPPLIES</v>
      </c>
      <c r="C133" s="12"/>
      <c r="D133" s="7">
        <v>1406.74</v>
      </c>
      <c r="E133" s="3"/>
      <c r="F133" s="8">
        <f t="shared" si="28"/>
        <v>1.1786914662935584E-3</v>
      </c>
      <c r="G133" s="3"/>
      <c r="H133" s="7">
        <v>10</v>
      </c>
      <c r="I133" s="3"/>
      <c r="J133" s="8">
        <f t="shared" si="29"/>
        <v>1.7877190849738636E-5</v>
      </c>
      <c r="K133" s="3"/>
      <c r="L133" s="7">
        <f t="shared" si="30"/>
        <v>1396.74</v>
      </c>
      <c r="M133" s="3"/>
      <c r="N133" s="8">
        <f t="shared" si="31"/>
        <v>139.67400000000001</v>
      </c>
      <c r="O133" s="12"/>
      <c r="P133" s="7">
        <v>6195.9</v>
      </c>
      <c r="Q133" s="3"/>
      <c r="R133" s="8">
        <f t="shared" si="32"/>
        <v>7.0954780136927144E-4</v>
      </c>
      <c r="S133" s="3"/>
      <c r="T133" s="7">
        <v>180</v>
      </c>
      <c r="U133" s="3"/>
      <c r="V133" s="8">
        <f t="shared" si="33"/>
        <v>1.7997451560858981E-5</v>
      </c>
      <c r="W133" s="3"/>
      <c r="X133" s="7">
        <f t="shared" si="34"/>
        <v>6015.9</v>
      </c>
      <c r="Y133" s="3"/>
      <c r="Z133" s="8">
        <f t="shared" si="35"/>
        <v>33.421666666666667</v>
      </c>
    </row>
    <row r="134" spans="1:26" s="70" customFormat="1" ht="15" hidden="1" customHeight="1" outlineLevel="2" x14ac:dyDescent="0.3">
      <c r="A134" s="26"/>
      <c r="B134" s="12" t="str">
        <f>CONCATENATE("          ","6241"," - ","OFFICE EXPENSE")</f>
        <v xml:space="preserve">          6241 - OFFICE EXPENSE</v>
      </c>
      <c r="C134" s="12"/>
      <c r="D134" s="7">
        <v>3839</v>
      </c>
      <c r="E134" s="3"/>
      <c r="F134" s="8">
        <f t="shared" si="28"/>
        <v>3.2166544913068305E-3</v>
      </c>
      <c r="G134" s="3"/>
      <c r="H134" s="7">
        <v>580</v>
      </c>
      <c r="I134" s="3"/>
      <c r="J134" s="8">
        <f t="shared" si="29"/>
        <v>1.036877069284841E-3</v>
      </c>
      <c r="K134" s="3"/>
      <c r="L134" s="7">
        <f t="shared" si="30"/>
        <v>3259</v>
      </c>
      <c r="M134" s="3"/>
      <c r="N134" s="8">
        <f t="shared" si="31"/>
        <v>5.6189655172413797</v>
      </c>
      <c r="O134" s="12"/>
      <c r="P134" s="7">
        <v>19026.79</v>
      </c>
      <c r="Q134" s="3"/>
      <c r="R134" s="8">
        <f t="shared" si="32"/>
        <v>2.1789275184581481E-3</v>
      </c>
      <c r="S134" s="3"/>
      <c r="T134" s="7">
        <v>7050</v>
      </c>
      <c r="U134" s="3"/>
      <c r="V134" s="8">
        <f t="shared" si="33"/>
        <v>7.049001861336435E-4</v>
      </c>
      <c r="W134" s="3"/>
      <c r="X134" s="7">
        <f t="shared" si="34"/>
        <v>11976.79</v>
      </c>
      <c r="Y134" s="3"/>
      <c r="Z134" s="8">
        <f t="shared" si="35"/>
        <v>1.6988354609929079</v>
      </c>
    </row>
    <row r="135" spans="1:26" s="70" customFormat="1" ht="15" hidden="1" customHeight="1" outlineLevel="2" x14ac:dyDescent="0.3">
      <c r="A135" s="26"/>
      <c r="B135" s="12" t="str">
        <f>CONCATENATE("          ","6243"," - ","PAPER SUPPLIES")</f>
        <v xml:space="preserve">          6243 - PAPER SUPPLIES</v>
      </c>
      <c r="C135" s="12"/>
      <c r="D135" s="7">
        <v>410.22</v>
      </c>
      <c r="E135" s="3"/>
      <c r="F135" s="8">
        <f t="shared" si="28"/>
        <v>3.4371867815157284E-4</v>
      </c>
      <c r="G135" s="3"/>
      <c r="H135" s="7">
        <v>4200</v>
      </c>
      <c r="I135" s="3"/>
      <c r="J135" s="8">
        <f t="shared" si="29"/>
        <v>7.5084201568902265E-3</v>
      </c>
      <c r="K135" s="3"/>
      <c r="L135" s="7">
        <f t="shared" si="30"/>
        <v>-3789.7799999999997</v>
      </c>
      <c r="M135" s="3"/>
      <c r="N135" s="8">
        <f t="shared" si="31"/>
        <v>-0.90232857142857137</v>
      </c>
      <c r="O135" s="12"/>
      <c r="P135" s="7">
        <v>7245.36</v>
      </c>
      <c r="Q135" s="3"/>
      <c r="R135" s="8">
        <f t="shared" si="32"/>
        <v>8.2973083137701778E-4</v>
      </c>
      <c r="S135" s="3"/>
      <c r="T135" s="7">
        <v>34550</v>
      </c>
      <c r="U135" s="3"/>
      <c r="V135" s="8">
        <f t="shared" si="33"/>
        <v>3.4545108412648768E-3</v>
      </c>
      <c r="W135" s="3"/>
      <c r="X135" s="7">
        <f t="shared" si="34"/>
        <v>-27304.639999999999</v>
      </c>
      <c r="Y135" s="3"/>
      <c r="Z135" s="8">
        <f t="shared" si="35"/>
        <v>-0.790293487698987</v>
      </c>
    </row>
    <row r="136" spans="1:26" s="70" customFormat="1" ht="15" hidden="1" customHeight="1" outlineLevel="2" x14ac:dyDescent="0.3">
      <c r="A136" s="26"/>
      <c r="B136" s="12" t="str">
        <f>CONCATENATE("          ","6245"," - ","PRINTING")</f>
        <v xml:space="preserve">          6245 - PRINTING</v>
      </c>
      <c r="C136" s="12"/>
      <c r="D136" s="7">
        <v>-45.84</v>
      </c>
      <c r="E136" s="3"/>
      <c r="F136" s="8">
        <f t="shared" si="28"/>
        <v>-3.8408815285622591E-5</v>
      </c>
      <c r="G136" s="3"/>
      <c r="H136" s="7">
        <v>50</v>
      </c>
      <c r="I136" s="3"/>
      <c r="J136" s="8">
        <f t="shared" si="29"/>
        <v>8.9385954248693178E-5</v>
      </c>
      <c r="K136" s="3"/>
      <c r="L136" s="7">
        <f t="shared" si="30"/>
        <v>-95.84</v>
      </c>
      <c r="M136" s="3"/>
      <c r="N136" s="8">
        <f t="shared" si="31"/>
        <v>-1.9168000000000001</v>
      </c>
      <c r="O136" s="12"/>
      <c r="P136" s="7">
        <v>6940.68</v>
      </c>
      <c r="Q136" s="3"/>
      <c r="R136" s="8">
        <f t="shared" si="32"/>
        <v>7.948392056049444E-4</v>
      </c>
      <c r="S136" s="3"/>
      <c r="T136" s="7">
        <v>8045</v>
      </c>
      <c r="U136" s="3"/>
      <c r="V136" s="8">
        <f t="shared" si="33"/>
        <v>8.0438609892839177E-4</v>
      </c>
      <c r="W136" s="3"/>
      <c r="X136" s="7">
        <f t="shared" si="34"/>
        <v>-1104.3199999999997</v>
      </c>
      <c r="Y136" s="3"/>
      <c r="Z136" s="8">
        <f t="shared" si="35"/>
        <v>-0.13726786824114354</v>
      </c>
    </row>
    <row r="137" spans="1:26" s="70" customFormat="1" ht="15" hidden="1" customHeight="1" outlineLevel="2" x14ac:dyDescent="0.3">
      <c r="A137" s="26"/>
      <c r="B137" s="12" t="str">
        <f>CONCATENATE("          ","6247"," - ","STORE SUPPLIES")</f>
        <v xml:space="preserve">          6247 - STORE SUPPLIES</v>
      </c>
      <c r="C137" s="12"/>
      <c r="D137" s="7">
        <v>2231.5</v>
      </c>
      <c r="E137" s="3"/>
      <c r="F137" s="8">
        <f t="shared" si="28"/>
        <v>1.869748501524145E-3</v>
      </c>
      <c r="G137" s="3"/>
      <c r="H137" s="7">
        <v>6025</v>
      </c>
      <c r="I137" s="3"/>
      <c r="J137" s="8">
        <f t="shared" si="29"/>
        <v>1.0771007486967528E-2</v>
      </c>
      <c r="K137" s="3"/>
      <c r="L137" s="7">
        <f t="shared" si="30"/>
        <v>-3793.5</v>
      </c>
      <c r="M137" s="3"/>
      <c r="N137" s="8">
        <f t="shared" si="31"/>
        <v>-0.62962655601659756</v>
      </c>
      <c r="O137" s="12"/>
      <c r="P137" s="7">
        <v>49622.49</v>
      </c>
      <c r="Q137" s="3"/>
      <c r="R137" s="8">
        <f t="shared" si="32"/>
        <v>5.6827141622635387E-3</v>
      </c>
      <c r="S137" s="3"/>
      <c r="T137" s="7">
        <v>60055</v>
      </c>
      <c r="U137" s="3"/>
      <c r="V137" s="8">
        <f t="shared" si="33"/>
        <v>6.0046497415965896E-3</v>
      </c>
      <c r="W137" s="3"/>
      <c r="X137" s="7">
        <f t="shared" si="34"/>
        <v>-10432.510000000002</v>
      </c>
      <c r="Y137" s="3"/>
      <c r="Z137" s="8">
        <f t="shared" si="35"/>
        <v>-0.17371592706685543</v>
      </c>
    </row>
    <row r="138" spans="1:26" s="69" customFormat="1" ht="15" customHeight="1" outlineLevel="1" collapsed="1" x14ac:dyDescent="0.3">
      <c r="A138" s="25"/>
      <c r="B138" s="14" t="str">
        <f>CONCATENATE("     ","Telephone/Data Lines                              ")</f>
        <v xml:space="preserve">     Telephone/Data Lines                              </v>
      </c>
      <c r="C138" s="14"/>
      <c r="D138" s="2">
        <f>SUM(OSRRefD22_21x_0)</f>
        <v>2313.91</v>
      </c>
      <c r="E138" s="2"/>
      <c r="F138" s="6">
        <f t="shared" si="28"/>
        <v>1.9387989043969231E-3</v>
      </c>
      <c r="G138" s="2"/>
      <c r="H138" s="2">
        <f>SUM(OSRRefH22_21x_0)</f>
        <v>2060</v>
      </c>
      <c r="I138" s="2"/>
      <c r="J138" s="6">
        <f t="shared" si="29"/>
        <v>3.6827013150461589E-3</v>
      </c>
      <c r="K138" s="2"/>
      <c r="L138" s="2">
        <f t="shared" si="30"/>
        <v>253.90999999999985</v>
      </c>
      <c r="M138" s="2"/>
      <c r="N138" s="6">
        <f t="shared" si="31"/>
        <v>0.12325728155339799</v>
      </c>
      <c r="O138" s="14"/>
      <c r="P138" s="2">
        <f>SUM(OSRRefP22_21x_0)</f>
        <v>20413.07</v>
      </c>
      <c r="Q138" s="2"/>
      <c r="R138" s="6">
        <f t="shared" si="32"/>
        <v>2.337682812456146E-3</v>
      </c>
      <c r="S138" s="2"/>
      <c r="T138" s="2">
        <f>SUM(OSRRefT22_21x_0)</f>
        <v>21200</v>
      </c>
      <c r="U138" s="2"/>
      <c r="V138" s="6">
        <f t="shared" si="33"/>
        <v>2.1196998505011691E-3</v>
      </c>
      <c r="W138" s="2"/>
      <c r="X138" s="2">
        <f t="shared" si="34"/>
        <v>-786.93000000000029</v>
      </c>
      <c r="Y138" s="2"/>
      <c r="Z138" s="6">
        <f t="shared" si="35"/>
        <v>-3.7119339622641523E-2</v>
      </c>
    </row>
    <row r="139" spans="1:26" s="70" customFormat="1" ht="15" hidden="1" customHeight="1" outlineLevel="2" x14ac:dyDescent="0.3">
      <c r="A139" s="26"/>
      <c r="B139" s="12" t="str">
        <f>CONCATENATE("          ","6303"," - ","DATA PHONE LINES")</f>
        <v xml:space="preserve">          6303 - DATA PHONE LINES</v>
      </c>
      <c r="C139" s="12"/>
      <c r="D139" s="7"/>
      <c r="E139" s="3"/>
      <c r="F139" s="8">
        <f t="shared" si="28"/>
        <v>0</v>
      </c>
      <c r="G139" s="3"/>
      <c r="H139" s="7">
        <v>0</v>
      </c>
      <c r="I139" s="3"/>
      <c r="J139" s="8">
        <f t="shared" si="29"/>
        <v>0</v>
      </c>
      <c r="K139" s="3"/>
      <c r="L139" s="7">
        <f t="shared" si="30"/>
        <v>0</v>
      </c>
      <c r="M139" s="3"/>
      <c r="N139" s="8">
        <f t="shared" si="31"/>
        <v>0</v>
      </c>
      <c r="O139" s="12"/>
      <c r="P139" s="7">
        <v>295</v>
      </c>
      <c r="Q139" s="3"/>
      <c r="R139" s="8">
        <f t="shared" si="32"/>
        <v>3.3783082587507076E-5</v>
      </c>
      <c r="S139" s="3"/>
      <c r="T139" s="7">
        <v>0</v>
      </c>
      <c r="U139" s="3"/>
      <c r="V139" s="8">
        <f t="shared" si="33"/>
        <v>0</v>
      </c>
      <c r="W139" s="3"/>
      <c r="X139" s="7">
        <f t="shared" si="34"/>
        <v>295</v>
      </c>
      <c r="Y139" s="3"/>
      <c r="Z139" s="8">
        <f t="shared" si="35"/>
        <v>0</v>
      </c>
    </row>
    <row r="140" spans="1:26" s="70" customFormat="1" ht="15" hidden="1" customHeight="1" outlineLevel="2" x14ac:dyDescent="0.3">
      <c r="A140" s="26"/>
      <c r="B140" s="12" t="str">
        <f>CONCATENATE("          ","6309"," - ","TELEPHONE")</f>
        <v xml:space="preserve">          6309 - TELEPHONE</v>
      </c>
      <c r="C140" s="12"/>
      <c r="D140" s="7">
        <v>2313.91</v>
      </c>
      <c r="E140" s="3"/>
      <c r="F140" s="8">
        <f t="shared" si="28"/>
        <v>1.9387989043969231E-3</v>
      </c>
      <c r="G140" s="3"/>
      <c r="H140" s="7">
        <v>2060</v>
      </c>
      <c r="I140" s="3"/>
      <c r="J140" s="8">
        <f t="shared" si="29"/>
        <v>3.6827013150461589E-3</v>
      </c>
      <c r="K140" s="3"/>
      <c r="L140" s="7">
        <f t="shared" si="30"/>
        <v>253.90999999999985</v>
      </c>
      <c r="M140" s="3"/>
      <c r="N140" s="8">
        <f t="shared" si="31"/>
        <v>0.12325728155339799</v>
      </c>
      <c r="O140" s="12"/>
      <c r="P140" s="7">
        <v>20118.07</v>
      </c>
      <c r="Q140" s="3"/>
      <c r="R140" s="8">
        <f t="shared" si="32"/>
        <v>2.3038997298686389E-3</v>
      </c>
      <c r="S140" s="3"/>
      <c r="T140" s="7">
        <v>21200</v>
      </c>
      <c r="U140" s="3"/>
      <c r="V140" s="8">
        <f t="shared" si="33"/>
        <v>2.1196998505011691E-3</v>
      </c>
      <c r="W140" s="3"/>
      <c r="X140" s="7">
        <f t="shared" si="34"/>
        <v>-1081.9300000000003</v>
      </c>
      <c r="Y140" s="3"/>
      <c r="Z140" s="8">
        <f t="shared" si="35"/>
        <v>-5.1034433962264161E-2</v>
      </c>
    </row>
    <row r="141" spans="1:26" s="69" customFormat="1" ht="15" customHeight="1" outlineLevel="1" collapsed="1" x14ac:dyDescent="0.3">
      <c r="A141" s="25"/>
      <c r="B141" s="14" t="str">
        <f>CONCATENATE("     ","Training                                          ")</f>
        <v xml:space="preserve">     Training                                          </v>
      </c>
      <c r="C141" s="14"/>
      <c r="D141" s="2">
        <f>SUM(OSRRefD22_22x_0)</f>
        <v>125</v>
      </c>
      <c r="E141" s="2"/>
      <c r="F141" s="6">
        <f t="shared" si="28"/>
        <v>1.0473608007641412E-4</v>
      </c>
      <c r="G141" s="2"/>
      <c r="H141" s="2">
        <f>SUM(OSRRefH22_22x_0)</f>
        <v>0</v>
      </c>
      <c r="I141" s="2"/>
      <c r="J141" s="6">
        <f t="shared" si="29"/>
        <v>0</v>
      </c>
      <c r="K141" s="2"/>
      <c r="L141" s="2">
        <f t="shared" si="30"/>
        <v>125</v>
      </c>
      <c r="M141" s="2"/>
      <c r="N141" s="6">
        <f t="shared" si="31"/>
        <v>0</v>
      </c>
      <c r="O141" s="14"/>
      <c r="P141" s="2">
        <f>SUM(OSRRefP22_22x_0)</f>
        <v>1219</v>
      </c>
      <c r="Q141" s="2"/>
      <c r="R141" s="6">
        <f t="shared" si="32"/>
        <v>1.3959856838702075E-4</v>
      </c>
      <c r="S141" s="2"/>
      <c r="T141" s="2">
        <f>SUM(OSRRefT22_22x_0)</f>
        <v>2000</v>
      </c>
      <c r="U141" s="2"/>
      <c r="V141" s="6">
        <f t="shared" si="33"/>
        <v>1.9997168400954425E-4</v>
      </c>
      <c r="W141" s="2"/>
      <c r="X141" s="2">
        <f t="shared" si="34"/>
        <v>-781</v>
      </c>
      <c r="Y141" s="2"/>
      <c r="Z141" s="6">
        <f t="shared" si="35"/>
        <v>-0.39050000000000001</v>
      </c>
    </row>
    <row r="142" spans="1:26" s="70" customFormat="1" ht="15" hidden="1" customHeight="1" outlineLevel="2" x14ac:dyDescent="0.3">
      <c r="A142" s="26"/>
      <c r="B142" s="12" t="str">
        <f>CONCATENATE("          ","6376"," - ","TRAINING")</f>
        <v xml:space="preserve">          6376 - TRAINING</v>
      </c>
      <c r="C142" s="12"/>
      <c r="D142" s="7">
        <v>125</v>
      </c>
      <c r="E142" s="3"/>
      <c r="F142" s="8">
        <f t="shared" si="28"/>
        <v>1.0473608007641412E-4</v>
      </c>
      <c r="G142" s="3"/>
      <c r="H142" s="7">
        <v>0</v>
      </c>
      <c r="I142" s="3"/>
      <c r="J142" s="8">
        <f t="shared" si="29"/>
        <v>0</v>
      </c>
      <c r="K142" s="3"/>
      <c r="L142" s="7">
        <f t="shared" si="30"/>
        <v>125</v>
      </c>
      <c r="M142" s="3"/>
      <c r="N142" s="8">
        <f t="shared" si="31"/>
        <v>0</v>
      </c>
      <c r="O142" s="12"/>
      <c r="P142" s="7">
        <v>1219</v>
      </c>
      <c r="Q142" s="3"/>
      <c r="R142" s="8">
        <f t="shared" si="32"/>
        <v>1.3959856838702075E-4</v>
      </c>
      <c r="S142" s="3"/>
      <c r="T142" s="7">
        <v>2000</v>
      </c>
      <c r="U142" s="3"/>
      <c r="V142" s="8">
        <f t="shared" si="33"/>
        <v>1.9997168400954425E-4</v>
      </c>
      <c r="W142" s="3"/>
      <c r="X142" s="7">
        <f t="shared" si="34"/>
        <v>-781</v>
      </c>
      <c r="Y142" s="3"/>
      <c r="Z142" s="8">
        <f t="shared" si="35"/>
        <v>-0.39050000000000001</v>
      </c>
    </row>
    <row r="143" spans="1:26" s="69" customFormat="1" ht="15" customHeight="1" outlineLevel="1" collapsed="1" x14ac:dyDescent="0.3">
      <c r="A143" s="25"/>
      <c r="B143" s="14" t="str">
        <f>CONCATENATE("     ","Travel                                            ")</f>
        <v xml:space="preserve">     Travel                                            </v>
      </c>
      <c r="C143" s="14"/>
      <c r="D143" s="2">
        <f>SUM(OSRRefD22_23x_0)</f>
        <v>149.41</v>
      </c>
      <c r="E143" s="2"/>
      <c r="F143" s="6">
        <f t="shared" si="28"/>
        <v>1.2518894179373627E-4</v>
      </c>
      <c r="G143" s="2"/>
      <c r="H143" s="2">
        <f>SUM(OSRRefH22_23x_0)</f>
        <v>175</v>
      </c>
      <c r="I143" s="2"/>
      <c r="J143" s="6">
        <f t="shared" si="29"/>
        <v>3.1285083987042612E-4</v>
      </c>
      <c r="K143" s="2"/>
      <c r="L143" s="2">
        <f t="shared" si="30"/>
        <v>-25.590000000000003</v>
      </c>
      <c r="M143" s="2"/>
      <c r="N143" s="6">
        <f t="shared" si="31"/>
        <v>-0.14622857142857146</v>
      </c>
      <c r="O143" s="14"/>
      <c r="P143" s="2">
        <f>SUM(OSRRefP22_23x_0)</f>
        <v>1284.98</v>
      </c>
      <c r="Q143" s="2"/>
      <c r="R143" s="6">
        <f t="shared" si="32"/>
        <v>1.4715452699421981E-4</v>
      </c>
      <c r="S143" s="2"/>
      <c r="T143" s="2">
        <f>SUM(OSRRefT22_23x_0)</f>
        <v>2000</v>
      </c>
      <c r="U143" s="2"/>
      <c r="V143" s="6">
        <f t="shared" si="33"/>
        <v>1.9997168400954425E-4</v>
      </c>
      <c r="W143" s="2"/>
      <c r="X143" s="2">
        <f t="shared" si="34"/>
        <v>-715.02</v>
      </c>
      <c r="Y143" s="2"/>
      <c r="Z143" s="6">
        <f t="shared" si="35"/>
        <v>-0.35750999999999999</v>
      </c>
    </row>
    <row r="144" spans="1:26" s="70" customFormat="1" ht="15" hidden="1" customHeight="1" outlineLevel="2" x14ac:dyDescent="0.3">
      <c r="A144" s="26"/>
      <c r="B144" s="12" t="str">
        <f>CONCATENATE("          ","6292"," - ","TRAVEL/CONFERENCE")</f>
        <v xml:space="preserve">          6292 - TRAVEL/CONFERENCE</v>
      </c>
      <c r="C144" s="12"/>
      <c r="D144" s="7"/>
      <c r="E144" s="3"/>
      <c r="F144" s="8">
        <f t="shared" si="28"/>
        <v>0</v>
      </c>
      <c r="G144" s="3"/>
      <c r="H144" s="7">
        <v>125</v>
      </c>
      <c r="I144" s="3"/>
      <c r="J144" s="8">
        <f t="shared" si="29"/>
        <v>2.2346488562173295E-4</v>
      </c>
      <c r="K144" s="3"/>
      <c r="L144" s="7">
        <f t="shared" si="30"/>
        <v>-125</v>
      </c>
      <c r="M144" s="3"/>
      <c r="N144" s="8">
        <f t="shared" si="31"/>
        <v>-1</v>
      </c>
      <c r="O144" s="12"/>
      <c r="P144" s="7">
        <v>495</v>
      </c>
      <c r="Q144" s="3"/>
      <c r="R144" s="8">
        <f t="shared" si="32"/>
        <v>5.6686867392596617E-5</v>
      </c>
      <c r="S144" s="3"/>
      <c r="T144" s="7">
        <v>1250</v>
      </c>
      <c r="U144" s="3"/>
      <c r="V144" s="8">
        <f t="shared" si="33"/>
        <v>1.2498230250596515E-4</v>
      </c>
      <c r="W144" s="3"/>
      <c r="X144" s="7">
        <f t="shared" si="34"/>
        <v>-755</v>
      </c>
      <c r="Y144" s="3"/>
      <c r="Z144" s="8">
        <f t="shared" si="35"/>
        <v>-0.60399999999999998</v>
      </c>
    </row>
    <row r="145" spans="1:26" s="70" customFormat="1" ht="15" hidden="1" customHeight="1" outlineLevel="2" x14ac:dyDescent="0.3">
      <c r="A145" s="26"/>
      <c r="B145" s="12" t="str">
        <f>CONCATENATE("          ","6294"," - ","TRAVEL OPERATIONAL")</f>
        <v xml:space="preserve">          6294 - TRAVEL OPERATIONAL</v>
      </c>
      <c r="C145" s="12"/>
      <c r="D145" s="7"/>
      <c r="E145" s="3"/>
      <c r="F145" s="8">
        <f t="shared" si="28"/>
        <v>0</v>
      </c>
      <c r="G145" s="3"/>
      <c r="H145" s="7">
        <v>25</v>
      </c>
      <c r="I145" s="3"/>
      <c r="J145" s="8">
        <f t="shared" si="29"/>
        <v>4.4692977124346589E-5</v>
      </c>
      <c r="K145" s="3"/>
      <c r="L145" s="7">
        <f t="shared" si="30"/>
        <v>-25</v>
      </c>
      <c r="M145" s="3"/>
      <c r="N145" s="8">
        <f t="shared" si="31"/>
        <v>-1</v>
      </c>
      <c r="O145" s="12"/>
      <c r="P145" s="7">
        <v>403.48</v>
      </c>
      <c r="Q145" s="3"/>
      <c r="R145" s="8">
        <f t="shared" si="32"/>
        <v>4.6206095465787644E-5</v>
      </c>
      <c r="S145" s="3"/>
      <c r="T145" s="7">
        <v>250</v>
      </c>
      <c r="U145" s="3"/>
      <c r="V145" s="8">
        <f t="shared" si="33"/>
        <v>2.4996460501193031E-5</v>
      </c>
      <c r="W145" s="3"/>
      <c r="X145" s="7">
        <f t="shared" si="34"/>
        <v>153.48000000000002</v>
      </c>
      <c r="Y145" s="3"/>
      <c r="Z145" s="8">
        <f t="shared" si="35"/>
        <v>0.61392000000000002</v>
      </c>
    </row>
    <row r="146" spans="1:26" s="70" customFormat="1" ht="15" hidden="1" customHeight="1" outlineLevel="2" x14ac:dyDescent="0.3">
      <c r="A146" s="26"/>
      <c r="B146" s="12" t="str">
        <f>CONCATENATE("          ","6298"," - ","VEHICLE MILEAGE")</f>
        <v xml:space="preserve">          6298 - VEHICLE MILEAGE</v>
      </c>
      <c r="C146" s="12"/>
      <c r="D146" s="7">
        <v>149.41</v>
      </c>
      <c r="E146" s="3"/>
      <c r="F146" s="8">
        <f t="shared" si="28"/>
        <v>1.2518894179373627E-4</v>
      </c>
      <c r="G146" s="3"/>
      <c r="H146" s="7">
        <v>25</v>
      </c>
      <c r="I146" s="3"/>
      <c r="J146" s="8">
        <f t="shared" si="29"/>
        <v>4.4692977124346589E-5</v>
      </c>
      <c r="K146" s="3"/>
      <c r="L146" s="7">
        <f t="shared" si="30"/>
        <v>124.41</v>
      </c>
      <c r="M146" s="3"/>
      <c r="N146" s="8">
        <f t="shared" si="31"/>
        <v>4.9763999999999999</v>
      </c>
      <c r="O146" s="12"/>
      <c r="P146" s="7">
        <v>386.5</v>
      </c>
      <c r="Q146" s="3"/>
      <c r="R146" s="8">
        <f t="shared" si="32"/>
        <v>4.4261564135835541E-5</v>
      </c>
      <c r="S146" s="3"/>
      <c r="T146" s="7">
        <v>500</v>
      </c>
      <c r="U146" s="3"/>
      <c r="V146" s="8">
        <f t="shared" si="33"/>
        <v>4.9992921002386062E-5</v>
      </c>
      <c r="W146" s="3"/>
      <c r="X146" s="7">
        <f t="shared" si="34"/>
        <v>-113.5</v>
      </c>
      <c r="Y146" s="3"/>
      <c r="Z146" s="8">
        <f t="shared" si="35"/>
        <v>-0.22700000000000001</v>
      </c>
    </row>
    <row r="147" spans="1:26" s="69" customFormat="1" ht="15" customHeight="1" outlineLevel="1" collapsed="1" x14ac:dyDescent="0.3">
      <c r="A147" s="25"/>
      <c r="B147" s="14" t="str">
        <f>CONCATENATE("     ","Utilities                                         ")</f>
        <v xml:space="preserve">     Utilities                                         </v>
      </c>
      <c r="C147" s="14"/>
      <c r="D147" s="2">
        <f>SUM(OSRRefD22_24x_0)</f>
        <v>6254.32</v>
      </c>
      <c r="E147" s="2"/>
      <c r="F147" s="6">
        <f t="shared" si="28"/>
        <v>5.2404236827481463E-3</v>
      </c>
      <c r="G147" s="2"/>
      <c r="H147" s="2">
        <f>SUM(OSRRefH22_24x_0)</f>
        <v>6120</v>
      </c>
      <c r="I147" s="2"/>
      <c r="J147" s="6">
        <f t="shared" si="29"/>
        <v>1.0940840800040045E-2</v>
      </c>
      <c r="K147" s="2"/>
      <c r="L147" s="2">
        <f t="shared" si="30"/>
        <v>134.31999999999971</v>
      </c>
      <c r="M147" s="2"/>
      <c r="N147" s="6">
        <f t="shared" si="31"/>
        <v>2.1947712418300607E-2</v>
      </c>
      <c r="O147" s="14"/>
      <c r="P147" s="2">
        <f>SUM(OSRRefP22_24x_0)</f>
        <v>55287.22</v>
      </c>
      <c r="Q147" s="2"/>
      <c r="R147" s="6">
        <f t="shared" si="32"/>
        <v>6.3314329467582132E-3</v>
      </c>
      <c r="S147" s="2"/>
      <c r="T147" s="2">
        <f>SUM(OSRRefT22_24x_0)</f>
        <v>63880</v>
      </c>
      <c r="U147" s="2"/>
      <c r="V147" s="6">
        <f t="shared" si="33"/>
        <v>6.3870955872648433E-3</v>
      </c>
      <c r="W147" s="2"/>
      <c r="X147" s="2">
        <f t="shared" si="34"/>
        <v>-8592.7799999999988</v>
      </c>
      <c r="Y147" s="2"/>
      <c r="Z147" s="6">
        <f t="shared" si="35"/>
        <v>-0.13451440200375703</v>
      </c>
    </row>
    <row r="148" spans="1:26" s="70" customFormat="1" ht="15" hidden="1" customHeight="1" outlineLevel="2" x14ac:dyDescent="0.3">
      <c r="A148" s="26"/>
      <c r="B148" s="12" t="str">
        <f>CONCATENATE("          ","6274"," - ","UTILITIES")</f>
        <v xml:space="preserve">          6274 - UTILITIES</v>
      </c>
      <c r="C148" s="12"/>
      <c r="D148" s="7">
        <v>6254.32</v>
      </c>
      <c r="E148" s="3"/>
      <c r="F148" s="8">
        <f t="shared" si="28"/>
        <v>5.2404236827481463E-3</v>
      </c>
      <c r="G148" s="3"/>
      <c r="H148" s="7">
        <v>6120</v>
      </c>
      <c r="I148" s="3"/>
      <c r="J148" s="8">
        <f t="shared" si="29"/>
        <v>1.0940840800040045E-2</v>
      </c>
      <c r="K148" s="3"/>
      <c r="L148" s="7">
        <f t="shared" si="30"/>
        <v>134.31999999999971</v>
      </c>
      <c r="M148" s="3"/>
      <c r="N148" s="8">
        <f t="shared" si="31"/>
        <v>2.1947712418300607E-2</v>
      </c>
      <c r="O148" s="12"/>
      <c r="P148" s="7">
        <v>55287.22</v>
      </c>
      <c r="Q148" s="3"/>
      <c r="R148" s="8">
        <f t="shared" si="32"/>
        <v>6.3314329467582132E-3</v>
      </c>
      <c r="S148" s="3"/>
      <c r="T148" s="7">
        <v>63880</v>
      </c>
      <c r="U148" s="3"/>
      <c r="V148" s="8">
        <f t="shared" si="33"/>
        <v>6.3870955872648433E-3</v>
      </c>
      <c r="W148" s="3"/>
      <c r="X148" s="7">
        <f t="shared" si="34"/>
        <v>-8592.7799999999988</v>
      </c>
      <c r="Y148" s="3"/>
      <c r="Z148" s="8">
        <f t="shared" si="35"/>
        <v>-0.13451440200375703</v>
      </c>
    </row>
    <row r="149" spans="1:26" s="65" customFormat="1" ht="15" customHeight="1" x14ac:dyDescent="0.3">
      <c r="A149" s="35"/>
      <c r="B149" s="35"/>
      <c r="C149" s="35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35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63" customFormat="1" ht="15" customHeight="1" collapsed="1" x14ac:dyDescent="0.3">
      <c r="A150" s="11"/>
      <c r="B150" s="28" t="s">
        <v>291</v>
      </c>
      <c r="C150" s="11"/>
      <c r="D150" s="5">
        <f>SUM(OSRRefD25x_0)</f>
        <v>56550.91</v>
      </c>
      <c r="E150" s="5"/>
      <c r="F150" s="13">
        <f t="shared" ref="F150:F157" si="36">IF(D$12=0,0,D150/D$12)</f>
        <v>4.7383365105232708E-2</v>
      </c>
      <c r="G150" s="5"/>
      <c r="H150" s="5">
        <f>SUM(OSRRefH25x_0)</f>
        <v>34783</v>
      </c>
      <c r="I150" s="5"/>
      <c r="J150" s="13">
        <f t="shared" ref="J150:J157" si="37">IF(H$12=0,0,H150/H$12)</f>
        <v>6.2182232932645895E-2</v>
      </c>
      <c r="K150" s="5"/>
      <c r="L150" s="5">
        <f t="shared" ref="L150:L157" si="38">+D150-H150</f>
        <v>21767.910000000003</v>
      </c>
      <c r="M150" s="5"/>
      <c r="N150" s="13">
        <f t="shared" ref="N150:N157" si="39">IF(H150=0,0,L150/H150)</f>
        <v>0.62582037202081486</v>
      </c>
      <c r="O150" s="11"/>
      <c r="P150" s="5">
        <f>SUM(OSRRefP25x_0)</f>
        <v>970799.19000000018</v>
      </c>
      <c r="Q150" s="5"/>
      <c r="R150" s="13">
        <f t="shared" ref="R150:R157" si="40">IF(P$12=0,0,P150/P$12)</f>
        <v>0.1111748786835762</v>
      </c>
      <c r="S150" s="5"/>
      <c r="T150" s="5">
        <f>SUM(OSRRefT25x_0)</f>
        <v>754045.23</v>
      </c>
      <c r="U150" s="5"/>
      <c r="V150" s="13">
        <f t="shared" ref="V150:V157" si="41">IF(T$12=0,0,T150/T$12)</f>
        <v>7.5393847231232061E-2</v>
      </c>
      <c r="W150" s="5"/>
      <c r="X150" s="5">
        <f t="shared" ref="X150:X157" si="42">+P150-T150</f>
        <v>216753.9600000002</v>
      </c>
      <c r="Y150" s="5"/>
      <c r="Z150" s="13">
        <f t="shared" ref="Z150:Z157" si="43">IF(T150=0,0,X150/T150)</f>
        <v>0.28745485201199428</v>
      </c>
    </row>
    <row r="151" spans="1:26" s="70" customFormat="1" ht="15" hidden="1" customHeight="1" outlineLevel="1" x14ac:dyDescent="0.3">
      <c r="A151" s="42"/>
      <c r="B151" s="12" t="str">
        <f>CONCATENATE("          ","4187"," - ","NON-TAXABLE SALES-COMPUTER REP")</f>
        <v xml:space="preserve">          4187 - NON-TAXABLE SALES-COMPUTER REP</v>
      </c>
      <c r="C151" s="12"/>
      <c r="D151" s="3">
        <f>0</f>
        <v>0</v>
      </c>
      <c r="E151" s="3"/>
      <c r="F151" s="20">
        <f t="shared" si="36"/>
        <v>0</v>
      </c>
      <c r="G151" s="3"/>
      <c r="H151" s="3"/>
      <c r="I151" s="3"/>
      <c r="J151" s="20">
        <f t="shared" si="37"/>
        <v>0</v>
      </c>
      <c r="K151" s="3"/>
      <c r="L151" s="3">
        <f t="shared" si="38"/>
        <v>0</v>
      </c>
      <c r="M151" s="3"/>
      <c r="N151" s="20">
        <f t="shared" si="39"/>
        <v>0</v>
      </c>
      <c r="O151" s="12"/>
      <c r="P151" s="3">
        <f>0</f>
        <v>0</v>
      </c>
      <c r="Q151" s="3"/>
      <c r="R151" s="20">
        <f t="shared" si="40"/>
        <v>0</v>
      </c>
      <c r="S151" s="3"/>
      <c r="T151" s="3"/>
      <c r="U151" s="3"/>
      <c r="V151" s="20">
        <f t="shared" si="41"/>
        <v>0</v>
      </c>
      <c r="W151" s="3"/>
      <c r="X151" s="3">
        <f t="shared" si="42"/>
        <v>0</v>
      </c>
      <c r="Y151" s="3"/>
      <c r="Z151" s="20">
        <f t="shared" si="43"/>
        <v>0</v>
      </c>
    </row>
    <row r="152" spans="1:26" s="70" customFormat="1" ht="15" hidden="1" customHeight="1" outlineLevel="1" x14ac:dyDescent="0.3">
      <c r="A152" s="42"/>
      <c r="B152" s="12" t="str">
        <f>CONCATENATE("          ","9087"," - ","")</f>
        <v xml:space="preserve">          9087 - </v>
      </c>
      <c r="C152" s="12"/>
      <c r="D152" s="3">
        <f>--1264.22</f>
        <v>1264.22</v>
      </c>
      <c r="E152" s="3"/>
      <c r="F152" s="20">
        <f t="shared" si="36"/>
        <v>1.0592755772336341E-3</v>
      </c>
      <c r="G152" s="3"/>
      <c r="H152" s="3"/>
      <c r="I152" s="3"/>
      <c r="J152" s="20">
        <f t="shared" si="37"/>
        <v>0</v>
      </c>
      <c r="K152" s="3"/>
      <c r="L152" s="3">
        <f t="shared" si="38"/>
        <v>1264.22</v>
      </c>
      <c r="M152" s="3"/>
      <c r="N152" s="20">
        <f t="shared" si="39"/>
        <v>0</v>
      </c>
      <c r="O152" s="12"/>
      <c r="P152" s="3">
        <f>--1996</f>
        <v>1996</v>
      </c>
      <c r="Q152" s="3"/>
      <c r="R152" s="20">
        <f t="shared" si="40"/>
        <v>2.2857977235479361E-4</v>
      </c>
      <c r="S152" s="3"/>
      <c r="T152" s="3"/>
      <c r="U152" s="3"/>
      <c r="V152" s="20">
        <f t="shared" si="41"/>
        <v>0</v>
      </c>
      <c r="W152" s="3"/>
      <c r="X152" s="3">
        <f t="shared" si="42"/>
        <v>1996</v>
      </c>
      <c r="Y152" s="3"/>
      <c r="Z152" s="20">
        <f t="shared" si="43"/>
        <v>0</v>
      </c>
    </row>
    <row r="153" spans="1:26" s="70" customFormat="1" ht="15" hidden="1" customHeight="1" outlineLevel="1" x14ac:dyDescent="0.3">
      <c r="A153" s="42"/>
      <c r="B153" s="12" t="str">
        <f>CONCATENATE("          ","9150"," - ","MISC. INCOME")</f>
        <v xml:space="preserve">          9150 - MISC. INCOME</v>
      </c>
      <c r="C153" s="12"/>
      <c r="D153" s="3">
        <f>--53793.78</f>
        <v>53793.78</v>
      </c>
      <c r="E153" s="3"/>
      <c r="F153" s="20">
        <f t="shared" si="36"/>
        <v>4.5073197197544032E-2</v>
      </c>
      <c r="G153" s="3"/>
      <c r="H153" s="3">
        <v>34783</v>
      </c>
      <c r="I153" s="3"/>
      <c r="J153" s="20">
        <f t="shared" si="37"/>
        <v>6.2182232932645895E-2</v>
      </c>
      <c r="K153" s="3"/>
      <c r="L153" s="3">
        <f t="shared" si="38"/>
        <v>19010.78</v>
      </c>
      <c r="M153" s="3"/>
      <c r="N153" s="20">
        <f t="shared" si="39"/>
        <v>0.54655377627001689</v>
      </c>
      <c r="O153" s="12"/>
      <c r="P153" s="3">
        <f>--384333.36</f>
        <v>384333.36</v>
      </c>
      <c r="Q153" s="3"/>
      <c r="R153" s="20">
        <f t="shared" si="40"/>
        <v>4.4013442854285038E-2</v>
      </c>
      <c r="S153" s="3"/>
      <c r="T153" s="3">
        <v>180517</v>
      </c>
      <c r="U153" s="3"/>
      <c r="V153" s="20">
        <f t="shared" si="41"/>
        <v>1.8049144241175451E-2</v>
      </c>
      <c r="W153" s="3"/>
      <c r="X153" s="3">
        <f t="shared" si="42"/>
        <v>203816.36</v>
      </c>
      <c r="Y153" s="3"/>
      <c r="Z153" s="20">
        <f t="shared" si="43"/>
        <v>1.1290701706764459</v>
      </c>
    </row>
    <row r="154" spans="1:26" s="70" customFormat="1" ht="15" hidden="1" customHeight="1" outlineLevel="1" x14ac:dyDescent="0.3">
      <c r="A154" s="42"/>
      <c r="B154" s="12" t="str">
        <f>CONCATENATE("          ","9151"," - ","MISC. INCOME")</f>
        <v xml:space="preserve">          9151 - MISC. INCOME</v>
      </c>
      <c r="C154" s="12"/>
      <c r="D154" s="3">
        <f>0</f>
        <v>0</v>
      </c>
      <c r="E154" s="3"/>
      <c r="F154" s="20">
        <f t="shared" si="36"/>
        <v>0</v>
      </c>
      <c r="G154" s="3"/>
      <c r="H154" s="3"/>
      <c r="I154" s="3"/>
      <c r="J154" s="20">
        <f t="shared" si="37"/>
        <v>0</v>
      </c>
      <c r="K154" s="3"/>
      <c r="L154" s="3">
        <f t="shared" si="38"/>
        <v>0</v>
      </c>
      <c r="M154" s="3"/>
      <c r="N154" s="20">
        <f t="shared" si="39"/>
        <v>0</v>
      </c>
      <c r="O154" s="12"/>
      <c r="P154" s="3">
        <f>--323761.7</f>
        <v>323761.7</v>
      </c>
      <c r="Q154" s="3"/>
      <c r="R154" s="20">
        <f t="shared" si="40"/>
        <v>3.7076841524649795E-2</v>
      </c>
      <c r="S154" s="3"/>
      <c r="T154" s="3">
        <v>456862.23</v>
      </c>
      <c r="U154" s="3"/>
      <c r="V154" s="20">
        <f t="shared" si="41"/>
        <v>4.5679754746727863E-2</v>
      </c>
      <c r="W154" s="3"/>
      <c r="X154" s="3">
        <f t="shared" si="42"/>
        <v>-133100.52999999997</v>
      </c>
      <c r="Y154" s="3"/>
      <c r="Z154" s="20">
        <f t="shared" si="43"/>
        <v>-0.29133625250658163</v>
      </c>
    </row>
    <row r="155" spans="1:26" s="70" customFormat="1" ht="15" hidden="1" customHeight="1" outlineLevel="1" x14ac:dyDescent="0.3">
      <c r="A155" s="42"/>
      <c r="B155" s="12" t="str">
        <f>CONCATENATE("          ","9152"," - ","MISC. INCOME")</f>
        <v xml:space="preserve">          9152 - MISC. INCOME</v>
      </c>
      <c r="C155" s="12"/>
      <c r="D155" s="3">
        <f>-496.09</f>
        <v>-496.09</v>
      </c>
      <c r="E155" s="3"/>
      <c r="F155" s="20">
        <f t="shared" si="36"/>
        <v>-4.1566817572086625E-4</v>
      </c>
      <c r="G155" s="3"/>
      <c r="H155" s="3"/>
      <c r="I155" s="3"/>
      <c r="J155" s="20">
        <f t="shared" si="37"/>
        <v>0</v>
      </c>
      <c r="K155" s="3"/>
      <c r="L155" s="3">
        <f t="shared" si="38"/>
        <v>-496.09</v>
      </c>
      <c r="M155" s="3"/>
      <c r="N155" s="20">
        <f t="shared" si="39"/>
        <v>0</v>
      </c>
      <c r="O155" s="12"/>
      <c r="P155" s="3">
        <f>--3888.43</f>
        <v>3888.43</v>
      </c>
      <c r="Q155" s="3"/>
      <c r="R155" s="20">
        <f t="shared" si="40"/>
        <v>4.452988197482716E-4</v>
      </c>
      <c r="S155" s="3"/>
      <c r="T155" s="3"/>
      <c r="U155" s="3"/>
      <c r="V155" s="20">
        <f t="shared" si="41"/>
        <v>0</v>
      </c>
      <c r="W155" s="3"/>
      <c r="X155" s="3">
        <f t="shared" si="42"/>
        <v>3888.43</v>
      </c>
      <c r="Y155" s="3"/>
      <c r="Z155" s="20">
        <f t="shared" si="43"/>
        <v>0</v>
      </c>
    </row>
    <row r="156" spans="1:26" s="70" customFormat="1" ht="15" hidden="1" customHeight="1" outlineLevel="1" x14ac:dyDescent="0.3">
      <c r="A156" s="42"/>
      <c r="B156" s="12" t="str">
        <f>CONCATENATE("          ","9160"," - ","MISC. INCOME")</f>
        <v xml:space="preserve">          9160 - MISC. INCOME</v>
      </c>
      <c r="C156" s="12"/>
      <c r="D156" s="3">
        <f>0</f>
        <v>0</v>
      </c>
      <c r="E156" s="3"/>
      <c r="F156" s="20">
        <f t="shared" si="36"/>
        <v>0</v>
      </c>
      <c r="G156" s="3"/>
      <c r="H156" s="3">
        <v>0</v>
      </c>
      <c r="I156" s="3"/>
      <c r="J156" s="20">
        <f t="shared" si="37"/>
        <v>0</v>
      </c>
      <c r="K156" s="3"/>
      <c r="L156" s="3">
        <f t="shared" si="38"/>
        <v>0</v>
      </c>
      <c r="M156" s="3"/>
      <c r="N156" s="20">
        <f t="shared" si="39"/>
        <v>0</v>
      </c>
      <c r="O156" s="12"/>
      <c r="P156" s="3">
        <f>0</f>
        <v>0</v>
      </c>
      <c r="Q156" s="3"/>
      <c r="R156" s="20">
        <f t="shared" si="40"/>
        <v>0</v>
      </c>
      <c r="S156" s="3"/>
      <c r="T156" s="3">
        <v>116666</v>
      </c>
      <c r="U156" s="3"/>
      <c r="V156" s="20">
        <f t="shared" si="41"/>
        <v>1.1664948243328744E-2</v>
      </c>
      <c r="W156" s="3"/>
      <c r="X156" s="3">
        <f t="shared" si="42"/>
        <v>-116666</v>
      </c>
      <c r="Y156" s="3"/>
      <c r="Z156" s="20">
        <f t="shared" si="43"/>
        <v>-1</v>
      </c>
    </row>
    <row r="157" spans="1:26" s="70" customFormat="1" ht="15" hidden="1" customHeight="1" outlineLevel="1" x14ac:dyDescent="0.3">
      <c r="A157" s="42"/>
      <c r="B157" s="12" t="str">
        <f>CONCATENATE("          ","9163"," - ","MISC. INCOME")</f>
        <v xml:space="preserve">          9163 - MISC. INCOME</v>
      </c>
      <c r="C157" s="12"/>
      <c r="D157" s="3">
        <f>--1989</f>
        <v>1989</v>
      </c>
      <c r="E157" s="3"/>
      <c r="F157" s="20">
        <f t="shared" si="36"/>
        <v>1.6665605061759014E-3</v>
      </c>
      <c r="G157" s="3"/>
      <c r="H157" s="3"/>
      <c r="I157" s="3"/>
      <c r="J157" s="20">
        <f t="shared" si="37"/>
        <v>0</v>
      </c>
      <c r="K157" s="3"/>
      <c r="L157" s="3">
        <f t="shared" si="38"/>
        <v>1989</v>
      </c>
      <c r="M157" s="3"/>
      <c r="N157" s="20">
        <f t="shared" si="39"/>
        <v>0</v>
      </c>
      <c r="O157" s="12"/>
      <c r="P157" s="3">
        <f>--256819.7</f>
        <v>256819.7</v>
      </c>
      <c r="Q157" s="3"/>
      <c r="R157" s="20">
        <f t="shared" si="40"/>
        <v>2.9410715712538275E-2</v>
      </c>
      <c r="S157" s="3"/>
      <c r="T157" s="3"/>
      <c r="U157" s="3"/>
      <c r="V157" s="20">
        <f t="shared" si="41"/>
        <v>0</v>
      </c>
      <c r="W157" s="3"/>
      <c r="X157" s="3">
        <f t="shared" si="42"/>
        <v>256819.7</v>
      </c>
      <c r="Y157" s="3"/>
      <c r="Z157" s="20">
        <f t="shared" si="43"/>
        <v>0</v>
      </c>
    </row>
    <row r="158" spans="1:26" ht="15" customHeight="1" x14ac:dyDescent="0.3">
      <c r="A158" s="10"/>
      <c r="B158" s="11"/>
      <c r="C158" s="11"/>
      <c r="D158" s="4"/>
      <c r="E158" s="4"/>
      <c r="F158" s="9"/>
      <c r="G158" s="4"/>
      <c r="H158" s="4"/>
      <c r="I158" s="4"/>
      <c r="J158" s="9"/>
      <c r="K158" s="4"/>
      <c r="L158" s="4"/>
      <c r="M158" s="4"/>
      <c r="N158" s="9"/>
      <c r="O158" s="11"/>
      <c r="P158" s="4"/>
      <c r="Q158" s="4"/>
      <c r="R158" s="9"/>
      <c r="S158" s="4"/>
      <c r="T158" s="4"/>
      <c r="U158" s="4"/>
      <c r="V158" s="9"/>
      <c r="W158" s="4"/>
      <c r="X158" s="4"/>
      <c r="Y158" s="4"/>
      <c r="Z158" s="9"/>
    </row>
    <row r="159" spans="1:26" s="63" customFormat="1" ht="15" customHeight="1" x14ac:dyDescent="0.3">
      <c r="A159" s="11"/>
      <c r="B159" s="27" t="s">
        <v>292</v>
      </c>
      <c r="C159" s="27"/>
      <c r="D159" s="21">
        <f>+D56-D58+D150</f>
        <v>198589.15999999971</v>
      </c>
      <c r="E159" s="15"/>
      <c r="F159" s="23">
        <f>IF(D$12=0,0,D159/D$12)</f>
        <v>0.1663956013125423</v>
      </c>
      <c r="G159" s="15"/>
      <c r="H159" s="21">
        <f>+H56-H58+H150</f>
        <v>-91853.79096984386</v>
      </c>
      <c r="I159" s="15"/>
      <c r="J159" s="23">
        <f>IF(H$12=0,0,H159/H$12)</f>
        <v>-0.16420877514398979</v>
      </c>
      <c r="K159" s="17"/>
      <c r="L159" s="21">
        <f>+D159-H159</f>
        <v>290442.95096984354</v>
      </c>
      <c r="M159" s="17"/>
      <c r="N159" s="23">
        <f>IF(H159=0,0,L159/H159)</f>
        <v>-3.162013760163668</v>
      </c>
      <c r="O159" s="28"/>
      <c r="P159" s="21">
        <f>+P56-P58+P150</f>
        <v>868513.8600000029</v>
      </c>
      <c r="Q159" s="15"/>
      <c r="R159" s="23">
        <f>IF(P$12=0,0,P159/P$12)</f>
        <v>9.946127274838866E-2</v>
      </c>
      <c r="S159" s="15"/>
      <c r="T159" s="21">
        <f>+T56-T58+T150</f>
        <v>583161.6006972813</v>
      </c>
      <c r="U159" s="15"/>
      <c r="V159" s="23">
        <f>IF(T$12=0,0,T159/T$12)</f>
        <v>5.830790367056838E-2</v>
      </c>
      <c r="W159" s="17"/>
      <c r="X159" s="21">
        <f>+P159-T159</f>
        <v>285352.25930272159</v>
      </c>
      <c r="Y159" s="17"/>
      <c r="Z159" s="23">
        <f>IF(T159=0,0,X159/T159)</f>
        <v>0.4893193566955169</v>
      </c>
    </row>
    <row r="160" spans="1:26" ht="15" customHeight="1" x14ac:dyDescent="0.3">
      <c r="A160" s="10"/>
      <c r="B160" s="11"/>
      <c r="C160" s="10"/>
      <c r="D160" s="4"/>
      <c r="E160" s="4"/>
      <c r="F160" s="9"/>
      <c r="G160" s="4"/>
      <c r="H160" s="4"/>
      <c r="I160" s="4"/>
      <c r="J160" s="9"/>
      <c r="K160" s="4"/>
      <c r="L160" s="4"/>
      <c r="M160" s="4"/>
      <c r="N160" s="9"/>
      <c r="P160" s="4"/>
      <c r="Q160" s="4"/>
      <c r="R160" s="9"/>
      <c r="S160" s="4"/>
      <c r="T160" s="4"/>
      <c r="U160" s="4"/>
      <c r="V160" s="9"/>
      <c r="W160" s="4"/>
      <c r="X160" s="4"/>
      <c r="Y160" s="4"/>
      <c r="Z160" s="9"/>
    </row>
    <row r="161" spans="1:26" s="63" customFormat="1" ht="15" customHeight="1" x14ac:dyDescent="0.3">
      <c r="A161" s="49"/>
      <c r="B161" s="11" t="s">
        <v>293</v>
      </c>
      <c r="C161" s="11"/>
      <c r="D161" s="5">
        <v>89489.39</v>
      </c>
      <c r="E161" s="5"/>
      <c r="F161" s="13">
        <f>IF(D$12=0,0,D161/D$12)</f>
        <v>7.4982143336235624E-2</v>
      </c>
      <c r="G161" s="5"/>
      <c r="H161" s="5">
        <v>80452</v>
      </c>
      <c r="I161" s="5"/>
      <c r="J161" s="13">
        <f>IF(H$12=0,0,H161/H$12)</f>
        <v>0.14382557582431726</v>
      </c>
      <c r="K161" s="5"/>
      <c r="L161" s="5">
        <f>+D161-H161</f>
        <v>9037.39</v>
      </c>
      <c r="M161" s="5"/>
      <c r="N161" s="13">
        <f>IF(H161=0,0,L161/H161)</f>
        <v>0.1123326952717148</v>
      </c>
      <c r="O161" s="11"/>
      <c r="P161" s="5">
        <v>989215.36</v>
      </c>
      <c r="Q161" s="5"/>
      <c r="R161" s="13">
        <f>IF(P$12=0,0,P161/P$12)</f>
        <v>0.11328387865664591</v>
      </c>
      <c r="S161" s="5"/>
      <c r="T161" s="5">
        <v>1230321</v>
      </c>
      <c r="U161" s="5"/>
      <c r="V161" s="13">
        <f>IF(T$12=0,0,T161/T$12)</f>
        <v>0.12301468112115324</v>
      </c>
      <c r="W161" s="5"/>
      <c r="X161" s="5">
        <f>+P161-T161</f>
        <v>-241105.64</v>
      </c>
      <c r="Y161" s="5"/>
      <c r="Z161" s="13">
        <f>IF(T161=0,0,X161/T161)</f>
        <v>-0.19596970221592577</v>
      </c>
    </row>
    <row r="162" spans="1:26" ht="15" customHeight="1" x14ac:dyDescent="0.3">
      <c r="A162" s="10"/>
      <c r="B162" s="11"/>
      <c r="C162" s="11"/>
      <c r="D162" s="4"/>
      <c r="E162" s="4"/>
      <c r="F162" s="9"/>
      <c r="G162" s="4"/>
      <c r="H162" s="4"/>
      <c r="I162" s="4"/>
      <c r="J162" s="9"/>
      <c r="K162" s="4"/>
      <c r="L162" s="4"/>
      <c r="M162" s="4"/>
      <c r="N162" s="9"/>
      <c r="O162" s="11"/>
      <c r="P162" s="4"/>
      <c r="Q162" s="4"/>
      <c r="R162" s="9"/>
      <c r="S162" s="4"/>
      <c r="T162" s="4"/>
      <c r="U162" s="4"/>
      <c r="V162" s="9"/>
      <c r="W162" s="4"/>
      <c r="X162" s="4"/>
      <c r="Y162" s="4"/>
      <c r="Z162" s="9"/>
    </row>
    <row r="163" spans="1:26" s="63" customFormat="1" ht="15" customHeight="1" x14ac:dyDescent="0.3">
      <c r="A163" s="11"/>
      <c r="B163" s="27" t="s">
        <v>294</v>
      </c>
      <c r="C163" s="27"/>
      <c r="D163" s="29">
        <f>+D159-D161</f>
        <v>109099.76999999971</v>
      </c>
      <c r="E163" s="15"/>
      <c r="F163" s="30">
        <f>IF(D$12=0,0,D163/D$12)</f>
        <v>9.1413457976306664E-2</v>
      </c>
      <c r="G163" s="15"/>
      <c r="H163" s="29">
        <f>+H159-H161</f>
        <v>-172305.79096984386</v>
      </c>
      <c r="I163" s="15"/>
      <c r="J163" s="30">
        <f>IF(H$12=0,0,H163/H$12)</f>
        <v>-0.30803435096830706</v>
      </c>
      <c r="K163" s="17"/>
      <c r="L163" s="29">
        <f>D163-H163</f>
        <v>281405.56096984359</v>
      </c>
      <c r="M163" s="17"/>
      <c r="N163" s="30">
        <f>IF(H163=0,0,L163/H163)</f>
        <v>-1.6331752948401708</v>
      </c>
      <c r="O163" s="28"/>
      <c r="P163" s="29">
        <f>+P159-P161</f>
        <v>-120701.49999999709</v>
      </c>
      <c r="Q163" s="15"/>
      <c r="R163" s="30">
        <f>IF(P$12=0,0,P163/P$12)</f>
        <v>-1.3822605908257244E-2</v>
      </c>
      <c r="S163" s="15"/>
      <c r="T163" s="29">
        <f>+T159-T161</f>
        <v>-647159.3993027187</v>
      </c>
      <c r="U163" s="15"/>
      <c r="V163" s="30">
        <f>IF(T$12=0,0,T163/T$12)</f>
        <v>-6.4706777450584868E-2</v>
      </c>
      <c r="W163" s="17"/>
      <c r="X163" s="29">
        <f>P163-T163</f>
        <v>526457.89930272161</v>
      </c>
      <c r="Y163" s="17"/>
      <c r="Z163" s="30">
        <f>IF(T163=0,0,X163/T163)</f>
        <v>-0.81349030836908676</v>
      </c>
    </row>
    <row r="164" spans="1:26" ht="15" customHeight="1" x14ac:dyDescent="0.3">
      <c r="A164" s="10"/>
      <c r="B164" s="10"/>
      <c r="C164" s="10"/>
      <c r="D164" s="4"/>
      <c r="E164" s="4"/>
      <c r="F164" s="9"/>
      <c r="G164" s="4"/>
      <c r="H164" s="4"/>
      <c r="I164" s="4"/>
      <c r="J164" s="9"/>
      <c r="K164" s="4"/>
      <c r="L164" s="4"/>
      <c r="M164" s="4"/>
      <c r="N164" s="9"/>
      <c r="P164" s="4"/>
      <c r="Q164" s="4"/>
      <c r="R164" s="9"/>
      <c r="S164" s="4"/>
      <c r="T164" s="4"/>
      <c r="U164" s="4"/>
      <c r="V164" s="9"/>
      <c r="W164" s="4"/>
      <c r="X164" s="4"/>
      <c r="Y164" s="4"/>
      <c r="Z164" s="9"/>
    </row>
    <row r="165" spans="1:26" ht="15" customHeight="1" x14ac:dyDescent="0.3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3" customFormat="1" ht="15" customHeight="1" x14ac:dyDescent="0.3">
      <c r="A166" s="11"/>
      <c r="B166" s="27" t="s">
        <v>297</v>
      </c>
      <c r="C166" s="27"/>
      <c r="D166" s="32">
        <f>SUM(D163:D165)</f>
        <v>109099.76999999971</v>
      </c>
      <c r="E166" s="15"/>
      <c r="F166" s="34">
        <f>IF(D$12=0,0,D166/D$12)</f>
        <v>9.1413457976306664E-2</v>
      </c>
      <c r="G166" s="15"/>
      <c r="H166" s="32">
        <f>SUM(H163:H165)</f>
        <v>-172305.79096984386</v>
      </c>
      <c r="I166" s="15"/>
      <c r="J166" s="34">
        <f>IF(H$12=0,0,H166/H$12)</f>
        <v>-0.30803435096830706</v>
      </c>
      <c r="K166" s="17"/>
      <c r="L166" s="32">
        <f>+D166-H166</f>
        <v>281405.56096984359</v>
      </c>
      <c r="M166" s="17"/>
      <c r="N166" s="34">
        <f>IF(H166=0,0,L166/H166)</f>
        <v>-1.6331752948401708</v>
      </c>
      <c r="O166" s="28"/>
      <c r="P166" s="32">
        <f>SUM(P163:P165)</f>
        <v>-120701.49999999709</v>
      </c>
      <c r="Q166" s="15"/>
      <c r="R166" s="34">
        <f>IF(P$12=0,0,P166/P$12)</f>
        <v>-1.3822605908257244E-2</v>
      </c>
      <c r="S166" s="15"/>
      <c r="T166" s="32">
        <f>SUM(T163:T165)</f>
        <v>-647159.3993027187</v>
      </c>
      <c r="U166" s="15"/>
      <c r="V166" s="34">
        <f>IF(T$12=0,0,T166/T$12)</f>
        <v>-6.4706777450584868E-2</v>
      </c>
      <c r="W166" s="17"/>
      <c r="X166" s="32">
        <f>+P166-T166</f>
        <v>526457.89930272161</v>
      </c>
      <c r="Y166" s="17"/>
      <c r="Z166" s="34">
        <f>IF(T166=0,0,X166/T166)</f>
        <v>-0.81349030836908676</v>
      </c>
    </row>
    <row r="167" spans="1:26" ht="15" customHeight="1" x14ac:dyDescent="0.3">
      <c r="A167" s="10"/>
      <c r="C167" s="10"/>
      <c r="D167" s="19"/>
      <c r="E167" s="19"/>
      <c r="G167" s="19"/>
      <c r="H167" s="19"/>
      <c r="I167" s="19"/>
      <c r="J167" s="40"/>
      <c r="K167" s="19"/>
      <c r="L167" s="19"/>
      <c r="M167" s="19"/>
      <c r="P167" s="19"/>
      <c r="Q167" s="19"/>
      <c r="R167" s="40"/>
      <c r="S167" s="19"/>
      <c r="T167" s="19"/>
      <c r="U167" s="19"/>
      <c r="V167" s="40"/>
      <c r="W167" s="19"/>
      <c r="X167" s="19"/>
    </row>
    <row r="168" spans="1:26" ht="15" customHeight="1" x14ac:dyDescent="0.3">
      <c r="A168" s="10"/>
      <c r="B168" s="56">
        <v>44694.88853773148</v>
      </c>
      <c r="D168" s="19"/>
      <c r="E168" s="19"/>
      <c r="G168" s="19"/>
      <c r="H168" s="19"/>
      <c r="I168" s="19"/>
      <c r="J168" s="40"/>
      <c r="K168" s="19"/>
      <c r="L168" s="19"/>
      <c r="M168" s="19"/>
      <c r="P168" s="19"/>
      <c r="Q168" s="19"/>
      <c r="R168" s="40"/>
      <c r="S168" s="19"/>
      <c r="T168" s="19"/>
      <c r="U168" s="19"/>
      <c r="V168" s="40"/>
      <c r="W168" s="19"/>
      <c r="X168" s="19"/>
    </row>
    <row r="169" spans="1:26" ht="15" customHeight="1" x14ac:dyDescent="0.3">
      <c r="A169" s="10"/>
      <c r="B169" s="50" t="s">
        <v>298</v>
      </c>
      <c r="D169" s="19"/>
      <c r="E169" s="19"/>
      <c r="G169" s="19"/>
      <c r="H169" s="19"/>
      <c r="I169" s="19"/>
      <c r="J169" s="40"/>
      <c r="K169" s="19"/>
      <c r="L169" s="19"/>
      <c r="M169" s="19"/>
      <c r="P169" s="19"/>
      <c r="Q169" s="19"/>
      <c r="R169" s="40"/>
      <c r="S169" s="19"/>
      <c r="T169" s="19"/>
      <c r="U169" s="19"/>
      <c r="V169" s="40"/>
      <c r="W169" s="19"/>
      <c r="X169" s="19"/>
    </row>
    <row r="170" spans="1:26" ht="15" customHeight="1" x14ac:dyDescent="0.3">
      <c r="A170" s="10"/>
      <c r="B170" s="51"/>
      <c r="D170" s="19"/>
      <c r="E170" s="19"/>
      <c r="G170" s="19"/>
      <c r="H170" s="19"/>
      <c r="I170" s="19"/>
      <c r="J170" s="40"/>
      <c r="K170" s="19"/>
      <c r="L170" s="19"/>
      <c r="M170" s="19"/>
      <c r="P170" s="19"/>
      <c r="Q170" s="19"/>
      <c r="R170" s="40"/>
      <c r="S170" s="19"/>
      <c r="T170" s="19"/>
      <c r="U170" s="19"/>
      <c r="V170" s="40"/>
      <c r="W170" s="19"/>
      <c r="X170" s="19"/>
    </row>
    <row r="171" spans="1:26" ht="15" customHeight="1" x14ac:dyDescent="0.3">
      <c r="D171" s="19"/>
      <c r="E171" s="19"/>
      <c r="G171" s="19"/>
      <c r="H171" s="19"/>
      <c r="I171" s="19"/>
      <c r="J171" s="40"/>
      <c r="K171" s="19"/>
      <c r="L171" s="19"/>
      <c r="M171" s="19"/>
      <c r="P171" s="19"/>
      <c r="Q171" s="19"/>
      <c r="R171" s="40"/>
      <c r="S171" s="19"/>
      <c r="T171" s="19"/>
      <c r="U171" s="19"/>
      <c r="V171" s="40"/>
      <c r="W171" s="19"/>
      <c r="X1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E4AC-95CF-302B-13A7-CE45975C6C02}">
  <sheetPr>
    <tabColor rgb="FF92D050"/>
    <outlinePr summaryBelow="0" summaryRight="0"/>
  </sheetPr>
  <dimension ref="A2:Z11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","301"," - ","Bookstore Operations")</f>
        <v>Department 301 - Bookstore Operations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collapsed="1" x14ac:dyDescent="0.3">
      <c r="A14" s="11"/>
      <c r="B14" s="28" t="s">
        <v>288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7" t="s">
        <v>289</v>
      </c>
      <c r="C17" s="27"/>
      <c r="D17" s="21">
        <f>D12-D14</f>
        <v>0</v>
      </c>
      <c r="E17" s="15"/>
      <c r="F17" s="23">
        <f>IF(D$12=0,0,D17/D$12)</f>
        <v>0</v>
      </c>
      <c r="G17" s="15"/>
      <c r="H17" s="21">
        <f>H12-H14</f>
        <v>0</v>
      </c>
      <c r="I17" s="15"/>
      <c r="J17" s="23">
        <f>IF(H$12=0,0,H17/H$12)</f>
        <v>0</v>
      </c>
      <c r="K17" s="17"/>
      <c r="L17" s="21">
        <f>+D17-H17</f>
        <v>0</v>
      </c>
      <c r="M17" s="17"/>
      <c r="N17" s="23">
        <f>IF(H17=0,0,L17/H17)</f>
        <v>0</v>
      </c>
      <c r="O17" s="28"/>
      <c r="P17" s="21">
        <f>P12-P14</f>
        <v>0</v>
      </c>
      <c r="Q17" s="15"/>
      <c r="R17" s="23">
        <f>IF(P$12=0,0,P17/P$12)</f>
        <v>0</v>
      </c>
      <c r="S17" s="15"/>
      <c r="T17" s="21">
        <f>T12-T14</f>
        <v>0</v>
      </c>
      <c r="U17" s="15"/>
      <c r="V17" s="23">
        <f>IF(T$12=0,0,T17/T$12)</f>
        <v>0</v>
      </c>
      <c r="W17" s="17"/>
      <c r="X17" s="21">
        <f>+P17-T17</f>
        <v>0</v>
      </c>
      <c r="Y17" s="17"/>
      <c r="Z17" s="23">
        <f>IF(T17=0,0,X17/T17)</f>
        <v>0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8" t="s">
        <v>290</v>
      </c>
      <c r="C19" s="11"/>
      <c r="D19" s="22" cm="1">
        <f t="array" ref="D19">SUM(OSRRefD22x_0)</f>
        <v>126578.33999999998</v>
      </c>
      <c r="E19" s="22"/>
      <c r="F19" s="33">
        <f t="shared" ref="F19:F50" si="0">IF(D$12=0,0,D19/D$12)</f>
        <v>0</v>
      </c>
      <c r="G19" s="22"/>
      <c r="H19" s="22" cm="1">
        <f t="array" ref="H19">SUM(OSRRefH22x_0)</f>
        <v>97498.31055213463</v>
      </c>
      <c r="I19" s="22"/>
      <c r="J19" s="33">
        <f t="shared" ref="J19:J50" si="1">IF(H$12=0,0,H19/H$12)</f>
        <v>0</v>
      </c>
      <c r="K19" s="5"/>
      <c r="L19" s="22">
        <f t="shared" ref="L19:L50" si="2">+D19-H19</f>
        <v>29080.029447865352</v>
      </c>
      <c r="M19" s="5"/>
      <c r="N19" s="33">
        <f t="shared" ref="N19:N50" si="3">IF(H19=0,0,L19/H19)</f>
        <v>0.29826188046936031</v>
      </c>
      <c r="O19" s="11"/>
      <c r="P19" s="22" cm="1">
        <f t="array" ref="P19">SUM(OSRRefP22x_0)</f>
        <v>1419523.5100000002</v>
      </c>
      <c r="Q19" s="22"/>
      <c r="R19" s="33">
        <f t="shared" ref="R19:R50" si="4">IF(P$12=0,0,P19/P$12)</f>
        <v>0</v>
      </c>
      <c r="S19" s="22"/>
      <c r="T19" s="22" cm="1">
        <f t="array" ref="T19">SUM(OSRRefT22x_0)</f>
        <v>1317887.6597552844</v>
      </c>
      <c r="U19" s="22"/>
      <c r="V19" s="33">
        <f t="shared" ref="V19:V50" si="5">IF(T$12=0,0,T19/T$12)</f>
        <v>0</v>
      </c>
      <c r="W19" s="5"/>
      <c r="X19" s="22">
        <f t="shared" ref="X19:X50" si="6">+P19-T19</f>
        <v>101635.85024471581</v>
      </c>
      <c r="Y19" s="5"/>
      <c r="Z19" s="33">
        <f t="shared" ref="Z19:Z50" si="7">IF(T19=0,0,X19/T19)</f>
        <v>7.7120268554292659E-2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16249.02</v>
      </c>
      <c r="E20" s="2"/>
      <c r="F20" s="6">
        <f t="shared" si="0"/>
        <v>0</v>
      </c>
      <c r="G20" s="2"/>
      <c r="H20" s="2">
        <f>SUM(OSRRefH22_0x_0)</f>
        <v>5268.8986117500071</v>
      </c>
      <c r="I20" s="2"/>
      <c r="J20" s="6">
        <f t="shared" si="1"/>
        <v>0</v>
      </c>
      <c r="K20" s="2"/>
      <c r="L20" s="2">
        <f t="shared" si="2"/>
        <v>10980.121388249994</v>
      </c>
      <c r="M20" s="2"/>
      <c r="N20" s="6">
        <f t="shared" si="3"/>
        <v>2.0839500239696331</v>
      </c>
      <c r="O20" s="14"/>
      <c r="P20" s="2">
        <f>SUM(OSRRefP22_0x_0)</f>
        <v>145184.68999999997</v>
      </c>
      <c r="Q20" s="2"/>
      <c r="R20" s="6">
        <f t="shared" si="4"/>
        <v>0</v>
      </c>
      <c r="S20" s="2"/>
      <c r="T20" s="2">
        <f>SUM(OSRRefT22_0x_0)</f>
        <v>58543.738089899969</v>
      </c>
      <c r="U20" s="2"/>
      <c r="V20" s="6">
        <f t="shared" si="5"/>
        <v>0</v>
      </c>
      <c r="W20" s="2"/>
      <c r="X20" s="2">
        <f t="shared" si="6"/>
        <v>86640.951910100004</v>
      </c>
      <c r="Y20" s="2"/>
      <c r="Z20" s="6">
        <f t="shared" si="7"/>
        <v>1.479935424981812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7">
        <v>3076.42</v>
      </c>
      <c r="E21" s="3"/>
      <c r="F21" s="8">
        <f t="shared" si="0"/>
        <v>0</v>
      </c>
      <c r="G21" s="3"/>
      <c r="H21" s="7">
        <v>1250.93377188462</v>
      </c>
      <c r="I21" s="3"/>
      <c r="J21" s="8">
        <f t="shared" si="1"/>
        <v>0</v>
      </c>
      <c r="K21" s="3"/>
      <c r="L21" s="7">
        <f t="shared" si="2"/>
        <v>1825.4862281153801</v>
      </c>
      <c r="M21" s="3"/>
      <c r="N21" s="8">
        <f t="shared" si="3"/>
        <v>1.4592988606944046</v>
      </c>
      <c r="O21" s="12"/>
      <c r="P21" s="7">
        <v>25988.43</v>
      </c>
      <c r="Q21" s="3"/>
      <c r="R21" s="8">
        <f t="shared" si="4"/>
        <v>0</v>
      </c>
      <c r="S21" s="3"/>
      <c r="T21" s="7">
        <v>15415.376322784599</v>
      </c>
      <c r="U21" s="3"/>
      <c r="V21" s="8">
        <f t="shared" si="5"/>
        <v>0</v>
      </c>
      <c r="W21" s="3"/>
      <c r="X21" s="7">
        <f t="shared" si="6"/>
        <v>10573.053677215401</v>
      </c>
      <c r="Y21" s="3"/>
      <c r="Z21" s="8">
        <f t="shared" si="7"/>
        <v>0.68587710451077122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7">
        <v>681.55</v>
      </c>
      <c r="E22" s="3"/>
      <c r="F22" s="8">
        <f t="shared" si="0"/>
        <v>0</v>
      </c>
      <c r="G22" s="3"/>
      <c r="H22" s="7">
        <v>616.703847</v>
      </c>
      <c r="I22" s="3"/>
      <c r="J22" s="8">
        <f t="shared" si="1"/>
        <v>0</v>
      </c>
      <c r="K22" s="3"/>
      <c r="L22" s="7">
        <f t="shared" si="2"/>
        <v>64.846152999999958</v>
      </c>
      <c r="M22" s="3"/>
      <c r="N22" s="8">
        <f t="shared" si="3"/>
        <v>0.1051495840595915</v>
      </c>
      <c r="O22" s="12"/>
      <c r="P22" s="7">
        <v>7611.33</v>
      </c>
      <c r="Q22" s="3"/>
      <c r="R22" s="8">
        <f t="shared" si="4"/>
        <v>0</v>
      </c>
      <c r="S22" s="3"/>
      <c r="T22" s="7">
        <v>7697.0297099999998</v>
      </c>
      <c r="U22" s="3"/>
      <c r="V22" s="8">
        <f t="shared" si="5"/>
        <v>0</v>
      </c>
      <c r="W22" s="3"/>
      <c r="X22" s="7">
        <f t="shared" si="6"/>
        <v>-85.699709999999868</v>
      </c>
      <c r="Y22" s="3"/>
      <c r="Z22" s="8">
        <f t="shared" si="7"/>
        <v>-1.1134127478897294E-2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7">
        <v>4880.57</v>
      </c>
      <c r="E23" s="3"/>
      <c r="F23" s="8">
        <f t="shared" si="0"/>
        <v>0</v>
      </c>
      <c r="G23" s="3"/>
      <c r="H23" s="7">
        <v>1456</v>
      </c>
      <c r="I23" s="3"/>
      <c r="J23" s="8">
        <f t="shared" si="1"/>
        <v>0</v>
      </c>
      <c r="K23" s="3"/>
      <c r="L23" s="7">
        <f t="shared" si="2"/>
        <v>3424.5699999999997</v>
      </c>
      <c r="M23" s="3"/>
      <c r="N23" s="8">
        <f t="shared" si="3"/>
        <v>2.3520398351648351</v>
      </c>
      <c r="O23" s="12"/>
      <c r="P23" s="7">
        <v>51923.360000000001</v>
      </c>
      <c r="Q23" s="3"/>
      <c r="R23" s="8">
        <f t="shared" si="4"/>
        <v>0</v>
      </c>
      <c r="S23" s="3"/>
      <c r="T23" s="7">
        <v>13642</v>
      </c>
      <c r="U23" s="3"/>
      <c r="V23" s="8">
        <f t="shared" si="5"/>
        <v>0</v>
      </c>
      <c r="W23" s="3"/>
      <c r="X23" s="7">
        <f t="shared" si="6"/>
        <v>38281.360000000001</v>
      </c>
      <c r="Y23" s="3"/>
      <c r="Z23" s="8">
        <f t="shared" si="7"/>
        <v>2.8061398621902947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121.82</v>
      </c>
      <c r="E24" s="3"/>
      <c r="F24" s="8">
        <f t="shared" si="0"/>
        <v>0</v>
      </c>
      <c r="G24" s="3"/>
      <c r="H24" s="7">
        <v>83.017825557692305</v>
      </c>
      <c r="I24" s="3"/>
      <c r="J24" s="8">
        <f t="shared" si="1"/>
        <v>0</v>
      </c>
      <c r="K24" s="3"/>
      <c r="L24" s="7">
        <f t="shared" si="2"/>
        <v>38.802174442307688</v>
      </c>
      <c r="M24" s="3"/>
      <c r="N24" s="8">
        <f t="shared" si="3"/>
        <v>0.46739569702825512</v>
      </c>
      <c r="O24" s="12"/>
      <c r="P24" s="7">
        <v>1358.59</v>
      </c>
      <c r="Q24" s="3"/>
      <c r="R24" s="8">
        <f t="shared" si="4"/>
        <v>0</v>
      </c>
      <c r="S24" s="3"/>
      <c r="T24" s="7">
        <v>1036.1386148076899</v>
      </c>
      <c r="U24" s="3"/>
      <c r="V24" s="8">
        <f t="shared" si="5"/>
        <v>0</v>
      </c>
      <c r="W24" s="3"/>
      <c r="X24" s="7">
        <f t="shared" si="6"/>
        <v>322.45138519231</v>
      </c>
      <c r="Y24" s="3"/>
      <c r="Z24" s="8">
        <f t="shared" si="7"/>
        <v>0.31120487218996062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7">
        <v>2252.7800000000002</v>
      </c>
      <c r="E25" s="3"/>
      <c r="F25" s="8">
        <f t="shared" si="0"/>
        <v>0</v>
      </c>
      <c r="G25" s="3"/>
      <c r="H25" s="7">
        <v>468.45192307692298</v>
      </c>
      <c r="I25" s="3"/>
      <c r="J25" s="8">
        <f t="shared" si="1"/>
        <v>0</v>
      </c>
      <c r="K25" s="3"/>
      <c r="L25" s="7">
        <f t="shared" si="2"/>
        <v>1784.3280769230773</v>
      </c>
      <c r="M25" s="3"/>
      <c r="N25" s="8">
        <f t="shared" si="3"/>
        <v>3.8089886902440542</v>
      </c>
      <c r="O25" s="12"/>
      <c r="P25" s="7">
        <v>16985.64</v>
      </c>
      <c r="Q25" s="3"/>
      <c r="R25" s="8">
        <f t="shared" si="4"/>
        <v>0</v>
      </c>
      <c r="S25" s="3"/>
      <c r="T25" s="7">
        <v>4122.3769230769203</v>
      </c>
      <c r="U25" s="3"/>
      <c r="V25" s="8">
        <f t="shared" si="5"/>
        <v>0</v>
      </c>
      <c r="W25" s="3"/>
      <c r="X25" s="7">
        <f t="shared" si="6"/>
        <v>12863.263076923078</v>
      </c>
      <c r="Y25" s="3"/>
      <c r="Z25" s="8">
        <f t="shared" si="7"/>
        <v>3.120351029745724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7">
        <v>476.91</v>
      </c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476.91</v>
      </c>
      <c r="M27" s="3"/>
      <c r="N27" s="8">
        <f t="shared" si="3"/>
        <v>0</v>
      </c>
      <c r="O27" s="12"/>
      <c r="P27" s="7">
        <v>3659.86</v>
      </c>
      <c r="Q27" s="3"/>
      <c r="R27" s="8">
        <f t="shared" si="4"/>
        <v>0</v>
      </c>
      <c r="S27" s="3"/>
      <c r="T27" s="7"/>
      <c r="U27" s="3"/>
      <c r="V27" s="8">
        <f t="shared" si="5"/>
        <v>0</v>
      </c>
      <c r="W27" s="3"/>
      <c r="X27" s="7">
        <f t="shared" si="6"/>
        <v>3659.86</v>
      </c>
      <c r="Y27" s="3"/>
      <c r="Z27" s="8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7">
        <v>2333.4</v>
      </c>
      <c r="E28" s="3"/>
      <c r="F28" s="8">
        <f t="shared" si="0"/>
        <v>0</v>
      </c>
      <c r="G28" s="3"/>
      <c r="H28" s="7">
        <v>311.733461538462</v>
      </c>
      <c r="I28" s="3"/>
      <c r="J28" s="8">
        <f t="shared" si="1"/>
        <v>0</v>
      </c>
      <c r="K28" s="3"/>
      <c r="L28" s="7">
        <f t="shared" si="2"/>
        <v>2021.666538461538</v>
      </c>
      <c r="M28" s="3"/>
      <c r="N28" s="8">
        <f t="shared" si="3"/>
        <v>6.4852407196976598</v>
      </c>
      <c r="O28" s="12"/>
      <c r="P28" s="7">
        <v>16352.64</v>
      </c>
      <c r="Q28" s="3"/>
      <c r="R28" s="8">
        <f t="shared" si="4"/>
        <v>0</v>
      </c>
      <c r="S28" s="3"/>
      <c r="T28" s="7">
        <v>2743.25446153846</v>
      </c>
      <c r="U28" s="3"/>
      <c r="V28" s="8">
        <f t="shared" si="5"/>
        <v>0</v>
      </c>
      <c r="W28" s="3"/>
      <c r="X28" s="7">
        <f t="shared" si="6"/>
        <v>13609.38553846154</v>
      </c>
      <c r="Y28" s="3"/>
      <c r="Z28" s="8">
        <f t="shared" si="7"/>
        <v>4.9610365094710112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7">
        <v>1639.62</v>
      </c>
      <c r="E29" s="3"/>
      <c r="F29" s="8">
        <f t="shared" si="0"/>
        <v>0</v>
      </c>
      <c r="G29" s="3"/>
      <c r="H29" s="7">
        <v>1082.05778269231</v>
      </c>
      <c r="I29" s="3"/>
      <c r="J29" s="8">
        <f t="shared" si="1"/>
        <v>0</v>
      </c>
      <c r="K29" s="3"/>
      <c r="L29" s="7">
        <f t="shared" si="2"/>
        <v>557.56221730768993</v>
      </c>
      <c r="M29" s="3"/>
      <c r="N29" s="8">
        <f t="shared" si="3"/>
        <v>0.51527952224547358</v>
      </c>
      <c r="O29" s="12"/>
      <c r="P29" s="7">
        <v>14274.13</v>
      </c>
      <c r="Q29" s="3"/>
      <c r="R29" s="8">
        <f t="shared" si="4"/>
        <v>0</v>
      </c>
      <c r="S29" s="3"/>
      <c r="T29" s="7">
        <v>13887.562057692299</v>
      </c>
      <c r="U29" s="3"/>
      <c r="V29" s="8">
        <f t="shared" si="5"/>
        <v>0</v>
      </c>
      <c r="W29" s="3"/>
      <c r="X29" s="7">
        <f t="shared" si="6"/>
        <v>386.56794230769992</v>
      </c>
      <c r="Y29" s="3"/>
      <c r="Z29" s="8">
        <f t="shared" si="7"/>
        <v>2.7835551027732799E-2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785.95</v>
      </c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785.95</v>
      </c>
      <c r="M30" s="3"/>
      <c r="N30" s="8">
        <f t="shared" si="3"/>
        <v>0</v>
      </c>
      <c r="O30" s="12"/>
      <c r="P30" s="7">
        <v>7030.71</v>
      </c>
      <c r="Q30" s="3"/>
      <c r="R30" s="8">
        <f t="shared" si="4"/>
        <v>0</v>
      </c>
      <c r="S30" s="3"/>
      <c r="T30" s="7"/>
      <c r="U30" s="3"/>
      <c r="V30" s="8">
        <f t="shared" si="5"/>
        <v>0</v>
      </c>
      <c r="W30" s="3"/>
      <c r="X30" s="7">
        <f t="shared" si="6"/>
        <v>7030.71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56906.710000000006</v>
      </c>
      <c r="E31" s="2"/>
      <c r="F31" s="6">
        <f t="shared" si="0"/>
        <v>0</v>
      </c>
      <c r="G31" s="2"/>
      <c r="H31" s="2">
        <f>SUM(OSRRefH22_1x_0)</f>
        <v>39115.41194038462</v>
      </c>
      <c r="I31" s="2"/>
      <c r="J31" s="6">
        <f t="shared" si="1"/>
        <v>0</v>
      </c>
      <c r="K31" s="2"/>
      <c r="L31" s="2">
        <f t="shared" si="2"/>
        <v>17791.298059615387</v>
      </c>
      <c r="M31" s="2"/>
      <c r="N31" s="6">
        <f t="shared" si="3"/>
        <v>0.4548411272449569</v>
      </c>
      <c r="O31" s="14"/>
      <c r="P31" s="2">
        <f>SUM(OSRRefP22_1x_0)</f>
        <v>539390.03</v>
      </c>
      <c r="Q31" s="2"/>
      <c r="R31" s="6">
        <f t="shared" si="4"/>
        <v>0</v>
      </c>
      <c r="S31" s="2"/>
      <c r="T31" s="2">
        <f>SUM(OSRRefT22_1x_0)</f>
        <v>491266.92166538461</v>
      </c>
      <c r="U31" s="2"/>
      <c r="V31" s="6">
        <f t="shared" si="5"/>
        <v>0</v>
      </c>
      <c r="W31" s="2"/>
      <c r="X31" s="2">
        <f t="shared" si="6"/>
        <v>48123.108334615419</v>
      </c>
      <c r="Y31" s="2"/>
      <c r="Z31" s="6">
        <f t="shared" si="7"/>
        <v>9.7957151626409292E-2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2749.47</v>
      </c>
      <c r="E32" s="3"/>
      <c r="F32" s="8">
        <f t="shared" si="0"/>
        <v>0</v>
      </c>
      <c r="G32" s="3"/>
      <c r="H32" s="7">
        <v>5174.7596153846198</v>
      </c>
      <c r="I32" s="3"/>
      <c r="J32" s="8">
        <f t="shared" si="1"/>
        <v>0</v>
      </c>
      <c r="K32" s="3"/>
      <c r="L32" s="7">
        <f t="shared" si="2"/>
        <v>-2425.28961538462</v>
      </c>
      <c r="M32" s="3"/>
      <c r="N32" s="8">
        <f t="shared" si="3"/>
        <v>-0.46867676870906355</v>
      </c>
      <c r="O32" s="12"/>
      <c r="P32" s="7">
        <v>47666.53</v>
      </c>
      <c r="Q32" s="3"/>
      <c r="R32" s="8">
        <f t="shared" si="4"/>
        <v>0</v>
      </c>
      <c r="S32" s="3"/>
      <c r="T32" s="7">
        <v>45537.884615384603</v>
      </c>
      <c r="U32" s="3"/>
      <c r="V32" s="8">
        <f t="shared" si="5"/>
        <v>0</v>
      </c>
      <c r="W32" s="3"/>
      <c r="X32" s="7">
        <f t="shared" si="6"/>
        <v>2128.6453846153963</v>
      </c>
      <c r="Y32" s="3"/>
      <c r="Z32" s="8">
        <f t="shared" si="7"/>
        <v>4.6744494229234594E-2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14624.02</v>
      </c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14624.02</v>
      </c>
      <c r="M33" s="3"/>
      <c r="N33" s="8">
        <f t="shared" si="3"/>
        <v>0</v>
      </c>
      <c r="O33" s="12"/>
      <c r="P33" s="7">
        <v>113216.53</v>
      </c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113216.53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11065.16</v>
      </c>
      <c r="E35" s="3"/>
      <c r="F35" s="8">
        <f t="shared" si="0"/>
        <v>0</v>
      </c>
      <c r="G35" s="3"/>
      <c r="H35" s="7">
        <v>10522.1535</v>
      </c>
      <c r="I35" s="3"/>
      <c r="J35" s="8">
        <f t="shared" si="1"/>
        <v>0</v>
      </c>
      <c r="K35" s="3"/>
      <c r="L35" s="7">
        <f t="shared" si="2"/>
        <v>543.00649999999951</v>
      </c>
      <c r="M35" s="3"/>
      <c r="N35" s="8">
        <f t="shared" si="3"/>
        <v>5.1606023424767514E-2</v>
      </c>
      <c r="O35" s="12"/>
      <c r="P35" s="7">
        <v>78213.13</v>
      </c>
      <c r="Q35" s="3"/>
      <c r="R35" s="8">
        <f t="shared" si="4"/>
        <v>0</v>
      </c>
      <c r="S35" s="3"/>
      <c r="T35" s="7">
        <v>90630.060599999997</v>
      </c>
      <c r="U35" s="3"/>
      <c r="V35" s="8">
        <f t="shared" si="5"/>
        <v>0</v>
      </c>
      <c r="W35" s="3"/>
      <c r="X35" s="7">
        <f t="shared" si="6"/>
        <v>-12416.930599999992</v>
      </c>
      <c r="Y35" s="3"/>
      <c r="Z35" s="8">
        <f t="shared" si="7"/>
        <v>-0.13700675601225398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3024.59</v>
      </c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3024.59</v>
      </c>
      <c r="M36" s="3"/>
      <c r="N36" s="8">
        <f t="shared" si="3"/>
        <v>0</v>
      </c>
      <c r="O36" s="12"/>
      <c r="P36" s="7">
        <v>27871.64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27871.64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>
        <v>2482.0300000000002</v>
      </c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2482.0300000000002</v>
      </c>
      <c r="M37" s="3"/>
      <c r="N37" s="8">
        <f t="shared" si="3"/>
        <v>0</v>
      </c>
      <c r="O37" s="12"/>
      <c r="P37" s="7">
        <v>17834.14</v>
      </c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17834.14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20874.64</v>
      </c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20874.64</v>
      </c>
      <c r="M38" s="3"/>
      <c r="N38" s="8">
        <f t="shared" si="3"/>
        <v>0</v>
      </c>
      <c r="O38" s="12"/>
      <c r="P38" s="7">
        <v>238183.23</v>
      </c>
      <c r="Q38" s="3"/>
      <c r="R38" s="8">
        <f t="shared" si="4"/>
        <v>0</v>
      </c>
      <c r="S38" s="3"/>
      <c r="T38" s="7">
        <v>60209.13</v>
      </c>
      <c r="U38" s="3"/>
      <c r="V38" s="8">
        <f t="shared" si="5"/>
        <v>0</v>
      </c>
      <c r="W38" s="3"/>
      <c r="X38" s="7">
        <f t="shared" si="6"/>
        <v>177974.1</v>
      </c>
      <c r="Y38" s="3"/>
      <c r="Z38" s="8">
        <f t="shared" si="7"/>
        <v>2.9559320986700857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>
        <v>2086.8000000000002</v>
      </c>
      <c r="E39" s="3"/>
      <c r="F39" s="8">
        <f t="shared" si="0"/>
        <v>0</v>
      </c>
      <c r="G39" s="3"/>
      <c r="H39" s="7">
        <v>23418.498824999999</v>
      </c>
      <c r="I39" s="3"/>
      <c r="J39" s="8">
        <f t="shared" si="1"/>
        <v>0</v>
      </c>
      <c r="K39" s="3"/>
      <c r="L39" s="7">
        <f t="shared" si="2"/>
        <v>-21331.698824999999</v>
      </c>
      <c r="M39" s="3"/>
      <c r="N39" s="8">
        <f t="shared" si="3"/>
        <v>-0.91089095780245855</v>
      </c>
      <c r="O39" s="12"/>
      <c r="P39" s="7">
        <v>16404.830000000002</v>
      </c>
      <c r="Q39" s="3"/>
      <c r="R39" s="8">
        <f t="shared" si="4"/>
        <v>0</v>
      </c>
      <c r="S39" s="3"/>
      <c r="T39" s="7">
        <v>294889.84645000001</v>
      </c>
      <c r="U39" s="3"/>
      <c r="V39" s="8">
        <f t="shared" si="5"/>
        <v>0</v>
      </c>
      <c r="W39" s="3"/>
      <c r="X39" s="7">
        <f t="shared" si="6"/>
        <v>-278485.01645</v>
      </c>
      <c r="Y39" s="3"/>
      <c r="Z39" s="8">
        <f t="shared" si="7"/>
        <v>-0.94436963429738996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600</v>
      </c>
      <c r="E42" s="2"/>
      <c r="F42" s="6">
        <f t="shared" si="0"/>
        <v>0</v>
      </c>
      <c r="G42" s="2"/>
      <c r="H42" s="2">
        <f>SUM(OSRRefH22_2x_0)</f>
        <v>0</v>
      </c>
      <c r="I42" s="2"/>
      <c r="J42" s="6">
        <f t="shared" si="1"/>
        <v>0</v>
      </c>
      <c r="K42" s="2"/>
      <c r="L42" s="2">
        <f t="shared" si="2"/>
        <v>600</v>
      </c>
      <c r="M42" s="2"/>
      <c r="N42" s="6">
        <f t="shared" si="3"/>
        <v>0</v>
      </c>
      <c r="O42" s="14"/>
      <c r="P42" s="2">
        <f>SUM(OSRRefP22_2x_0)</f>
        <v>233.62</v>
      </c>
      <c r="Q42" s="2"/>
      <c r="R42" s="6">
        <f t="shared" si="4"/>
        <v>0</v>
      </c>
      <c r="S42" s="2"/>
      <c r="T42" s="2">
        <f>SUM(OSRRefT22_2x_0)</f>
        <v>0</v>
      </c>
      <c r="U42" s="2"/>
      <c r="V42" s="6">
        <f t="shared" si="5"/>
        <v>0</v>
      </c>
      <c r="W42" s="2"/>
      <c r="X42" s="2">
        <f t="shared" si="6"/>
        <v>233.62</v>
      </c>
      <c r="Y42" s="2"/>
      <c r="Z42" s="6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>
        <v>600</v>
      </c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600</v>
      </c>
      <c r="M43" s="3"/>
      <c r="N43" s="8">
        <f t="shared" si="3"/>
        <v>0</v>
      </c>
      <c r="O43" s="12"/>
      <c r="P43" s="7">
        <v>233.62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233.62</v>
      </c>
      <c r="Y43" s="3"/>
      <c r="Z43" s="8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","Bad Debts/Over/Short                              ")</f>
        <v xml:space="preserve">     Bad Debts/Over/Short                              </v>
      </c>
      <c r="C44" s="14"/>
      <c r="D44" s="2">
        <f>SUM(OSRRefD22_3x_0)</f>
        <v>-47.16</v>
      </c>
      <c r="E44" s="2"/>
      <c r="F44" s="6">
        <f t="shared" si="0"/>
        <v>0</v>
      </c>
      <c r="G44" s="2"/>
      <c r="H44" s="2">
        <f>SUM(OSRRefH22_3x_0)</f>
        <v>200</v>
      </c>
      <c r="I44" s="2"/>
      <c r="J44" s="6">
        <f t="shared" si="1"/>
        <v>0</v>
      </c>
      <c r="K44" s="2"/>
      <c r="L44" s="2">
        <f t="shared" si="2"/>
        <v>-247.16</v>
      </c>
      <c r="M44" s="2"/>
      <c r="N44" s="6">
        <f t="shared" si="3"/>
        <v>-1.2358</v>
      </c>
      <c r="O44" s="14"/>
      <c r="P44" s="2">
        <f>SUM(OSRRefP22_3x_0)</f>
        <v>63.68</v>
      </c>
      <c r="Q44" s="2"/>
      <c r="R44" s="6">
        <f t="shared" si="4"/>
        <v>0</v>
      </c>
      <c r="S44" s="2"/>
      <c r="T44" s="2">
        <f>SUM(OSRRefT22_3x_0)</f>
        <v>2000</v>
      </c>
      <c r="U44" s="2"/>
      <c r="V44" s="6">
        <f t="shared" si="5"/>
        <v>0</v>
      </c>
      <c r="W44" s="2"/>
      <c r="X44" s="2">
        <f t="shared" si="6"/>
        <v>-1936.32</v>
      </c>
      <c r="Y44" s="2"/>
      <c r="Z44" s="6">
        <f t="shared" si="7"/>
        <v>-0.96816000000000002</v>
      </c>
    </row>
    <row r="45" spans="1:26" s="70" customFormat="1" ht="15" hidden="1" customHeight="1" outlineLevel="2" x14ac:dyDescent="0.3">
      <c r="A45" s="26"/>
      <c r="B45" s="12" t="str">
        <f>CONCATENATE("          ","6272"," - ","CASH (OVER/SHORT)")</f>
        <v xml:space="preserve">          6272 - CASH (OVER/SHORT)</v>
      </c>
      <c r="C45" s="12"/>
      <c r="D45" s="7">
        <v>-47.16</v>
      </c>
      <c r="E45" s="3"/>
      <c r="F45" s="8">
        <f t="shared" si="0"/>
        <v>0</v>
      </c>
      <c r="G45" s="3"/>
      <c r="H45" s="7">
        <v>200</v>
      </c>
      <c r="I45" s="3"/>
      <c r="J45" s="8">
        <f t="shared" si="1"/>
        <v>0</v>
      </c>
      <c r="K45" s="3"/>
      <c r="L45" s="7">
        <f t="shared" si="2"/>
        <v>-247.16</v>
      </c>
      <c r="M45" s="3"/>
      <c r="N45" s="8">
        <f t="shared" si="3"/>
        <v>-1.2358</v>
      </c>
      <c r="O45" s="12"/>
      <c r="P45" s="7">
        <v>63.68</v>
      </c>
      <c r="Q45" s="3"/>
      <c r="R45" s="8">
        <f t="shared" si="4"/>
        <v>0</v>
      </c>
      <c r="S45" s="3"/>
      <c r="T45" s="7">
        <v>2000</v>
      </c>
      <c r="U45" s="3"/>
      <c r="V45" s="8">
        <f t="shared" si="5"/>
        <v>0</v>
      </c>
      <c r="W45" s="3"/>
      <c r="X45" s="7">
        <f t="shared" si="6"/>
        <v>-1936.32</v>
      </c>
      <c r="Y45" s="3"/>
      <c r="Z45" s="8">
        <f t="shared" si="7"/>
        <v>-0.96816000000000002</v>
      </c>
    </row>
    <row r="46" spans="1:26" s="69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SUM(OSRRefD22_4x_0)</f>
        <v>14841.75</v>
      </c>
      <c r="E46" s="2"/>
      <c r="F46" s="6">
        <f t="shared" si="0"/>
        <v>0</v>
      </c>
      <c r="G46" s="2"/>
      <c r="H46" s="2">
        <f>SUM(OSRRefH22_4x_0)</f>
        <v>8000</v>
      </c>
      <c r="I46" s="2"/>
      <c r="J46" s="6">
        <f t="shared" si="1"/>
        <v>0</v>
      </c>
      <c r="K46" s="2"/>
      <c r="L46" s="2">
        <f t="shared" si="2"/>
        <v>6841.75</v>
      </c>
      <c r="M46" s="2"/>
      <c r="N46" s="6">
        <f t="shared" si="3"/>
        <v>0.85521875000000003</v>
      </c>
      <c r="O46" s="14"/>
      <c r="P46" s="2">
        <f>SUM(OSRRefP22_4x_0)</f>
        <v>121434.22</v>
      </c>
      <c r="Q46" s="2"/>
      <c r="R46" s="6">
        <f t="shared" si="4"/>
        <v>0</v>
      </c>
      <c r="S46" s="2"/>
      <c r="T46" s="2">
        <f>SUM(OSRRefT22_4x_0)</f>
        <v>149100</v>
      </c>
      <c r="U46" s="2"/>
      <c r="V46" s="6">
        <f t="shared" si="5"/>
        <v>0</v>
      </c>
      <c r="W46" s="2"/>
      <c r="X46" s="2">
        <f t="shared" si="6"/>
        <v>-27665.78</v>
      </c>
      <c r="Y46" s="2"/>
      <c r="Z46" s="6">
        <f t="shared" si="7"/>
        <v>-0.18555184439973171</v>
      </c>
    </row>
    <row r="47" spans="1:26" s="70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7">
        <v>14841.75</v>
      </c>
      <c r="E47" s="3"/>
      <c r="F47" s="8">
        <f t="shared" si="0"/>
        <v>0</v>
      </c>
      <c r="G47" s="3"/>
      <c r="H47" s="7">
        <v>8000</v>
      </c>
      <c r="I47" s="3"/>
      <c r="J47" s="8">
        <f t="shared" si="1"/>
        <v>0</v>
      </c>
      <c r="K47" s="3"/>
      <c r="L47" s="7">
        <f t="shared" si="2"/>
        <v>6841.75</v>
      </c>
      <c r="M47" s="3"/>
      <c r="N47" s="8">
        <f t="shared" si="3"/>
        <v>0.85521875000000003</v>
      </c>
      <c r="O47" s="12"/>
      <c r="P47" s="7">
        <v>121434.22</v>
      </c>
      <c r="Q47" s="3"/>
      <c r="R47" s="8">
        <f t="shared" si="4"/>
        <v>0</v>
      </c>
      <c r="S47" s="3"/>
      <c r="T47" s="7">
        <v>149100</v>
      </c>
      <c r="U47" s="3"/>
      <c r="V47" s="8">
        <f t="shared" si="5"/>
        <v>0</v>
      </c>
      <c r="W47" s="3"/>
      <c r="X47" s="7">
        <f t="shared" si="6"/>
        <v>-27665.78</v>
      </c>
      <c r="Y47" s="3"/>
      <c r="Z47" s="8">
        <f t="shared" si="7"/>
        <v>-0.18555184439973171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16210.169999999998</v>
      </c>
      <c r="E48" s="2"/>
      <c r="F48" s="6">
        <f t="shared" si="0"/>
        <v>0</v>
      </c>
      <c r="G48" s="2"/>
      <c r="H48" s="2">
        <f>SUM(OSRRefH22_5x_0)</f>
        <v>16089</v>
      </c>
      <c r="I48" s="2"/>
      <c r="J48" s="6">
        <f t="shared" si="1"/>
        <v>0</v>
      </c>
      <c r="K48" s="2"/>
      <c r="L48" s="2">
        <f t="shared" si="2"/>
        <v>121.16999999999825</v>
      </c>
      <c r="M48" s="2"/>
      <c r="N48" s="6">
        <f t="shared" si="3"/>
        <v>7.5312325191123283E-3</v>
      </c>
      <c r="O48" s="14"/>
      <c r="P48" s="2">
        <f>SUM(OSRRefP22_5x_0)</f>
        <v>282117.82</v>
      </c>
      <c r="Q48" s="2"/>
      <c r="R48" s="6">
        <f t="shared" si="4"/>
        <v>0</v>
      </c>
      <c r="S48" s="2"/>
      <c r="T48" s="2">
        <f>SUM(OSRRefT22_5x_0)</f>
        <v>280907</v>
      </c>
      <c r="U48" s="2"/>
      <c r="V48" s="6">
        <f t="shared" si="5"/>
        <v>0</v>
      </c>
      <c r="W48" s="2"/>
      <c r="X48" s="2">
        <f t="shared" si="6"/>
        <v>1210.820000000007</v>
      </c>
      <c r="Y48" s="2"/>
      <c r="Z48" s="6">
        <f t="shared" si="7"/>
        <v>4.31039454338983E-3</v>
      </c>
    </row>
    <row r="49" spans="1:26" s="70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7">
        <v>13321.71</v>
      </c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13321.71</v>
      </c>
      <c r="M49" s="3"/>
      <c r="N49" s="8">
        <f t="shared" si="3"/>
        <v>0</v>
      </c>
      <c r="O49" s="12"/>
      <c r="P49" s="7">
        <v>152475.84</v>
      </c>
      <c r="Q49" s="3"/>
      <c r="R49" s="8">
        <f t="shared" si="4"/>
        <v>0</v>
      </c>
      <c r="S49" s="3"/>
      <c r="T49" s="7"/>
      <c r="U49" s="3"/>
      <c r="V49" s="8">
        <f t="shared" si="5"/>
        <v>0</v>
      </c>
      <c r="W49" s="3"/>
      <c r="X49" s="7">
        <f t="shared" si="6"/>
        <v>152475.84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2888.46</v>
      </c>
      <c r="E50" s="3"/>
      <c r="F50" s="8">
        <f t="shared" si="0"/>
        <v>0</v>
      </c>
      <c r="G50" s="3"/>
      <c r="H50" s="7">
        <v>16089</v>
      </c>
      <c r="I50" s="3"/>
      <c r="J50" s="8">
        <f t="shared" si="1"/>
        <v>0</v>
      </c>
      <c r="K50" s="3"/>
      <c r="L50" s="7">
        <f t="shared" si="2"/>
        <v>-13200.54</v>
      </c>
      <c r="M50" s="3"/>
      <c r="N50" s="8">
        <f t="shared" si="3"/>
        <v>-0.82046988625769168</v>
      </c>
      <c r="O50" s="12"/>
      <c r="P50" s="7">
        <v>129641.98</v>
      </c>
      <c r="Q50" s="3"/>
      <c r="R50" s="8">
        <f t="shared" si="4"/>
        <v>0</v>
      </c>
      <c r="S50" s="3"/>
      <c r="T50" s="7">
        <v>280907</v>
      </c>
      <c r="U50" s="3"/>
      <c r="V50" s="8">
        <f t="shared" si="5"/>
        <v>0</v>
      </c>
      <c r="W50" s="3"/>
      <c r="X50" s="7">
        <f t="shared" si="6"/>
        <v>-151265.02000000002</v>
      </c>
      <c r="Y50" s="3"/>
      <c r="Z50" s="8">
        <f t="shared" si="7"/>
        <v>-0.5384878981299861</v>
      </c>
    </row>
    <row r="51" spans="1:26" s="69" customFormat="1" ht="15" customHeight="1" outlineLevel="1" collapsed="1" x14ac:dyDescent="0.3">
      <c r="A51" s="25"/>
      <c r="B51" s="14" t="str">
        <f>CONCATENATE("     ","Discounts and Markdowns                           ")</f>
        <v xml:space="preserve">     Discounts and Markdowns                           </v>
      </c>
      <c r="C51" s="14"/>
      <c r="D51" s="2">
        <f>SUM(OSRRefD22_6x_0)</f>
        <v>-29.32</v>
      </c>
      <c r="E51" s="2"/>
      <c r="F51" s="6">
        <f t="shared" ref="F51:F82" si="8">IF(D$12=0,0,D51/D$12)</f>
        <v>0</v>
      </c>
      <c r="G51" s="2"/>
      <c r="H51" s="2">
        <f>SUM(OSRRefH22_6x_0)</f>
        <v>0</v>
      </c>
      <c r="I51" s="2"/>
      <c r="J51" s="6">
        <f t="shared" ref="J51:J82" si="9">IF(H$12=0,0,H51/H$12)</f>
        <v>0</v>
      </c>
      <c r="K51" s="2"/>
      <c r="L51" s="2">
        <f t="shared" ref="L51:L82" si="10">+D51-H51</f>
        <v>-29.32</v>
      </c>
      <c r="M51" s="2"/>
      <c r="N51" s="6">
        <f t="shared" ref="N51:N82" si="11">IF(H51=0,0,L51/H51)</f>
        <v>0</v>
      </c>
      <c r="O51" s="14"/>
      <c r="P51" s="2">
        <f>SUM(OSRRefP22_6x_0)</f>
        <v>2026.83</v>
      </c>
      <c r="Q51" s="2"/>
      <c r="R51" s="6">
        <f t="shared" ref="R51:R82" si="12">IF(P$12=0,0,P51/P$12)</f>
        <v>0</v>
      </c>
      <c r="S51" s="2"/>
      <c r="T51" s="2">
        <f>SUM(OSRRefT22_6x_0)</f>
        <v>0</v>
      </c>
      <c r="U51" s="2"/>
      <c r="V51" s="6">
        <f t="shared" ref="V51:V82" si="13">IF(T$12=0,0,T51/T$12)</f>
        <v>0</v>
      </c>
      <c r="W51" s="2"/>
      <c r="X51" s="2">
        <f t="shared" ref="X51:X82" si="14">+P51-T51</f>
        <v>2026.83</v>
      </c>
      <c r="Y51" s="2"/>
      <c r="Z51" s="6">
        <f t="shared" ref="Z51:Z82" si="15">IF(T51=0,0,X51/T51)</f>
        <v>0</v>
      </c>
    </row>
    <row r="52" spans="1:26" s="70" customFormat="1" ht="15" hidden="1" customHeight="1" outlineLevel="2" x14ac:dyDescent="0.3">
      <c r="A52" s="26"/>
      <c r="B52" s="12" t="str">
        <f>CONCATENATE("          ","6382"," - ","DISCOUNTS/MARK DOWNS")</f>
        <v xml:space="preserve">          6382 - DISCOUNTS/MARK DOWNS</v>
      </c>
      <c r="C52" s="12"/>
      <c r="D52" s="7"/>
      <c r="E52" s="3"/>
      <c r="F52" s="8">
        <f t="shared" si="8"/>
        <v>0</v>
      </c>
      <c r="G52" s="3"/>
      <c r="H52" s="7"/>
      <c r="I52" s="3"/>
      <c r="J52" s="8">
        <f t="shared" si="9"/>
        <v>0</v>
      </c>
      <c r="K52" s="3"/>
      <c r="L52" s="7">
        <f t="shared" si="10"/>
        <v>0</v>
      </c>
      <c r="M52" s="3"/>
      <c r="N52" s="8">
        <f t="shared" si="11"/>
        <v>0</v>
      </c>
      <c r="O52" s="12"/>
      <c r="P52" s="7">
        <v>2170</v>
      </c>
      <c r="Q52" s="3"/>
      <c r="R52" s="8">
        <f t="shared" si="12"/>
        <v>0</v>
      </c>
      <c r="S52" s="3"/>
      <c r="T52" s="7"/>
      <c r="U52" s="3"/>
      <c r="V52" s="8">
        <f t="shared" si="13"/>
        <v>0</v>
      </c>
      <c r="W52" s="3"/>
      <c r="X52" s="7">
        <f t="shared" si="14"/>
        <v>2170</v>
      </c>
      <c r="Y52" s="3"/>
      <c r="Z52" s="8">
        <f t="shared" si="15"/>
        <v>0</v>
      </c>
    </row>
    <row r="53" spans="1:26" s="70" customFormat="1" ht="15" hidden="1" customHeight="1" outlineLevel="2" x14ac:dyDescent="0.3">
      <c r="A53" s="26"/>
      <c r="B53" s="12" t="str">
        <f>CONCATENATE("          ","9175"," - ","EARNED DISCOUNTS")</f>
        <v xml:space="preserve">          9175 - EARNED DISCOUNTS</v>
      </c>
      <c r="C53" s="12"/>
      <c r="D53" s="7">
        <v>-29.32</v>
      </c>
      <c r="E53" s="3"/>
      <c r="F53" s="8">
        <f t="shared" si="8"/>
        <v>0</v>
      </c>
      <c r="G53" s="3"/>
      <c r="H53" s="7"/>
      <c r="I53" s="3"/>
      <c r="J53" s="8">
        <f t="shared" si="9"/>
        <v>0</v>
      </c>
      <c r="K53" s="3"/>
      <c r="L53" s="7">
        <f t="shared" si="10"/>
        <v>-29.32</v>
      </c>
      <c r="M53" s="3"/>
      <c r="N53" s="8">
        <f t="shared" si="11"/>
        <v>0</v>
      </c>
      <c r="O53" s="12"/>
      <c r="P53" s="7">
        <v>-143.16999999999999</v>
      </c>
      <c r="Q53" s="3"/>
      <c r="R53" s="8">
        <f t="shared" si="12"/>
        <v>0</v>
      </c>
      <c r="S53" s="3"/>
      <c r="T53" s="7"/>
      <c r="U53" s="3"/>
      <c r="V53" s="8">
        <f t="shared" si="13"/>
        <v>0</v>
      </c>
      <c r="W53" s="3"/>
      <c r="X53" s="7">
        <f t="shared" si="14"/>
        <v>-143.16999999999999</v>
      </c>
      <c r="Y53" s="3"/>
      <c r="Z53" s="8">
        <f t="shared" si="15"/>
        <v>0</v>
      </c>
    </row>
    <row r="54" spans="1:26" s="69" customFormat="1" ht="15" customHeight="1" outlineLevel="1" collapsed="1" x14ac:dyDescent="0.3">
      <c r="A54" s="25"/>
      <c r="B54" s="14" t="str">
        <f>CONCATENATE("     ","Donations                                         ")</f>
        <v xml:space="preserve">     Donations                                         </v>
      </c>
      <c r="C54" s="14"/>
      <c r="D54" s="2">
        <f>SUM(OSRRefD22_7x_0)</f>
        <v>1488.53</v>
      </c>
      <c r="E54" s="2"/>
      <c r="F54" s="6">
        <f t="shared" si="8"/>
        <v>0</v>
      </c>
      <c r="G54" s="2"/>
      <c r="H54" s="2">
        <f>SUM(OSRRefH22_7x_0)</f>
        <v>1250</v>
      </c>
      <c r="I54" s="2"/>
      <c r="J54" s="6">
        <f t="shared" si="9"/>
        <v>0</v>
      </c>
      <c r="K54" s="2"/>
      <c r="L54" s="2">
        <f t="shared" si="10"/>
        <v>238.52999999999997</v>
      </c>
      <c r="M54" s="2"/>
      <c r="N54" s="6">
        <f t="shared" si="11"/>
        <v>0.19082399999999997</v>
      </c>
      <c r="O54" s="14"/>
      <c r="P54" s="2">
        <f>SUM(OSRRefP22_7x_0)</f>
        <v>7306.8</v>
      </c>
      <c r="Q54" s="2"/>
      <c r="R54" s="6">
        <f t="shared" si="12"/>
        <v>0</v>
      </c>
      <c r="S54" s="2"/>
      <c r="T54" s="2">
        <f>SUM(OSRRefT22_7x_0)</f>
        <v>12500</v>
      </c>
      <c r="U54" s="2"/>
      <c r="V54" s="6">
        <f t="shared" si="13"/>
        <v>0</v>
      </c>
      <c r="W54" s="2"/>
      <c r="X54" s="2">
        <f t="shared" si="14"/>
        <v>-5193.2</v>
      </c>
      <c r="Y54" s="2"/>
      <c r="Z54" s="6">
        <f t="shared" si="15"/>
        <v>-0.41545599999999999</v>
      </c>
    </row>
    <row r="55" spans="1:26" s="70" customFormat="1" ht="15" hidden="1" customHeight="1" outlineLevel="2" x14ac:dyDescent="0.3">
      <c r="A55" s="26"/>
      <c r="B55" s="12" t="str">
        <f>CONCATENATE("          ","6399"," - ","DONATION-ON CAMPUS")</f>
        <v xml:space="preserve">          6399 - DONATION-ON CAMPUS</v>
      </c>
      <c r="C55" s="12"/>
      <c r="D55" s="7">
        <v>1488.53</v>
      </c>
      <c r="E55" s="3"/>
      <c r="F55" s="8">
        <f t="shared" si="8"/>
        <v>0</v>
      </c>
      <c r="G55" s="3"/>
      <c r="H55" s="7">
        <v>1250</v>
      </c>
      <c r="I55" s="3"/>
      <c r="J55" s="8">
        <f t="shared" si="9"/>
        <v>0</v>
      </c>
      <c r="K55" s="3"/>
      <c r="L55" s="7">
        <f t="shared" si="10"/>
        <v>238.52999999999997</v>
      </c>
      <c r="M55" s="3"/>
      <c r="N55" s="8">
        <f t="shared" si="11"/>
        <v>0.19082399999999997</v>
      </c>
      <c r="O55" s="12"/>
      <c r="P55" s="7">
        <v>7306.8</v>
      </c>
      <c r="Q55" s="3"/>
      <c r="R55" s="8">
        <f t="shared" si="12"/>
        <v>0</v>
      </c>
      <c r="S55" s="3"/>
      <c r="T55" s="7">
        <v>12500</v>
      </c>
      <c r="U55" s="3"/>
      <c r="V55" s="8">
        <f t="shared" si="13"/>
        <v>0</v>
      </c>
      <c r="W55" s="3"/>
      <c r="X55" s="7">
        <f t="shared" si="14"/>
        <v>-5193.2</v>
      </c>
      <c r="Y55" s="3"/>
      <c r="Z55" s="8">
        <f t="shared" si="15"/>
        <v>-0.41545599999999999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SUM(OSRRefD22_8x_0)</f>
        <v>0</v>
      </c>
      <c r="E56" s="2"/>
      <c r="F56" s="6">
        <f t="shared" si="8"/>
        <v>0</v>
      </c>
      <c r="G56" s="2"/>
      <c r="H56" s="2">
        <f>SUM(OSRRefH22_8x_0)</f>
        <v>100</v>
      </c>
      <c r="I56" s="2"/>
      <c r="J56" s="6">
        <f t="shared" si="9"/>
        <v>0</v>
      </c>
      <c r="K56" s="2"/>
      <c r="L56" s="2">
        <f t="shared" si="10"/>
        <v>-100</v>
      </c>
      <c r="M56" s="2"/>
      <c r="N56" s="6">
        <f t="shared" si="11"/>
        <v>-1</v>
      </c>
      <c r="O56" s="14"/>
      <c r="P56" s="2">
        <f>SUM(OSRRefP22_8x_0)</f>
        <v>4028.75</v>
      </c>
      <c r="Q56" s="2"/>
      <c r="R56" s="6">
        <f t="shared" si="12"/>
        <v>0</v>
      </c>
      <c r="S56" s="2"/>
      <c r="T56" s="2">
        <f>SUM(OSRRefT22_8x_0)</f>
        <v>1000</v>
      </c>
      <c r="U56" s="2"/>
      <c r="V56" s="6">
        <f t="shared" si="13"/>
        <v>0</v>
      </c>
      <c r="W56" s="2"/>
      <c r="X56" s="2">
        <f t="shared" si="14"/>
        <v>3028.75</v>
      </c>
      <c r="Y56" s="2"/>
      <c r="Z56" s="6">
        <f t="shared" si="15"/>
        <v>3.0287500000000001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7"/>
      <c r="E57" s="3"/>
      <c r="F57" s="8">
        <f t="shared" si="8"/>
        <v>0</v>
      </c>
      <c r="G57" s="3"/>
      <c r="H57" s="7">
        <v>100</v>
      </c>
      <c r="I57" s="3"/>
      <c r="J57" s="8">
        <f t="shared" si="9"/>
        <v>0</v>
      </c>
      <c r="K57" s="3"/>
      <c r="L57" s="7">
        <f t="shared" si="10"/>
        <v>-100</v>
      </c>
      <c r="M57" s="3"/>
      <c r="N57" s="8">
        <f t="shared" si="11"/>
        <v>-1</v>
      </c>
      <c r="O57" s="12"/>
      <c r="P57" s="7">
        <v>4028.75</v>
      </c>
      <c r="Q57" s="3"/>
      <c r="R57" s="8">
        <f t="shared" si="12"/>
        <v>0</v>
      </c>
      <c r="S57" s="3"/>
      <c r="T57" s="7">
        <v>1000</v>
      </c>
      <c r="U57" s="3"/>
      <c r="V57" s="8">
        <f t="shared" si="13"/>
        <v>0</v>
      </c>
      <c r="W57" s="3"/>
      <c r="X57" s="7">
        <f t="shared" si="14"/>
        <v>3028.75</v>
      </c>
      <c r="Y57" s="3"/>
      <c r="Z57" s="8">
        <f t="shared" si="15"/>
        <v>3.0287500000000001</v>
      </c>
    </row>
    <row r="58" spans="1:26" s="69" customFormat="1" ht="15" customHeight="1" outlineLevel="1" collapsed="1" x14ac:dyDescent="0.3">
      <c r="A58" s="25"/>
      <c r="B58" s="14" t="str">
        <f>CONCATENATE("     ","Equipment Rental                                  ")</f>
        <v xml:space="preserve">     Equipment Rental                                  </v>
      </c>
      <c r="C58" s="14"/>
      <c r="D58" s="2">
        <f>SUM(OSRRefD22_9x_0)</f>
        <v>91.26</v>
      </c>
      <c r="E58" s="2"/>
      <c r="F58" s="6">
        <f t="shared" si="8"/>
        <v>0</v>
      </c>
      <c r="G58" s="2"/>
      <c r="H58" s="2">
        <f>SUM(OSRRefH22_9x_0)</f>
        <v>300</v>
      </c>
      <c r="I58" s="2"/>
      <c r="J58" s="6">
        <f t="shared" si="9"/>
        <v>0</v>
      </c>
      <c r="K58" s="2"/>
      <c r="L58" s="2">
        <f t="shared" si="10"/>
        <v>-208.74</v>
      </c>
      <c r="M58" s="2"/>
      <c r="N58" s="6">
        <f t="shared" si="11"/>
        <v>-0.69580000000000009</v>
      </c>
      <c r="O58" s="14"/>
      <c r="P58" s="2">
        <f>SUM(OSRRefP22_9x_0)</f>
        <v>2619.14</v>
      </c>
      <c r="Q58" s="2"/>
      <c r="R58" s="6">
        <f t="shared" si="12"/>
        <v>0</v>
      </c>
      <c r="S58" s="2"/>
      <c r="T58" s="2">
        <f>SUM(OSRRefT22_9x_0)</f>
        <v>3000</v>
      </c>
      <c r="U58" s="2"/>
      <c r="V58" s="6">
        <f t="shared" si="13"/>
        <v>0</v>
      </c>
      <c r="W58" s="2"/>
      <c r="X58" s="2">
        <f t="shared" si="14"/>
        <v>-380.86000000000013</v>
      </c>
      <c r="Y58" s="2"/>
      <c r="Z58" s="6">
        <f t="shared" si="15"/>
        <v>-0.12695333333333336</v>
      </c>
    </row>
    <row r="59" spans="1:26" s="70" customFormat="1" ht="15" hidden="1" customHeight="1" outlineLevel="2" x14ac:dyDescent="0.3">
      <c r="A59" s="26"/>
      <c r="B59" s="12" t="str">
        <f>CONCATENATE("          ","6351"," - ","EQUIPMENT RENTAL")</f>
        <v xml:space="preserve">          6351 - EQUIPMENT RENTAL</v>
      </c>
      <c r="C59" s="12"/>
      <c r="D59" s="7">
        <v>91.26</v>
      </c>
      <c r="E59" s="3"/>
      <c r="F59" s="8">
        <f t="shared" si="8"/>
        <v>0</v>
      </c>
      <c r="G59" s="3"/>
      <c r="H59" s="7">
        <v>300</v>
      </c>
      <c r="I59" s="3"/>
      <c r="J59" s="8">
        <f t="shared" si="9"/>
        <v>0</v>
      </c>
      <c r="K59" s="3"/>
      <c r="L59" s="7">
        <f t="shared" si="10"/>
        <v>-208.74</v>
      </c>
      <c r="M59" s="3"/>
      <c r="N59" s="8">
        <f t="shared" si="11"/>
        <v>-0.69580000000000009</v>
      </c>
      <c r="O59" s="12"/>
      <c r="P59" s="7">
        <v>2619.14</v>
      </c>
      <c r="Q59" s="3"/>
      <c r="R59" s="8">
        <f t="shared" si="12"/>
        <v>0</v>
      </c>
      <c r="S59" s="3"/>
      <c r="T59" s="7">
        <v>3000</v>
      </c>
      <c r="U59" s="3"/>
      <c r="V59" s="8">
        <f t="shared" si="13"/>
        <v>0</v>
      </c>
      <c r="W59" s="3"/>
      <c r="X59" s="7">
        <f t="shared" si="14"/>
        <v>-380.86000000000013</v>
      </c>
      <c r="Y59" s="3"/>
      <c r="Z59" s="8">
        <f t="shared" si="15"/>
        <v>-0.12695333333333336</v>
      </c>
    </row>
    <row r="60" spans="1:26" s="69" customFormat="1" ht="15" customHeight="1" outlineLevel="1" collapsed="1" x14ac:dyDescent="0.3">
      <c r="A60" s="25"/>
      <c r="B60" s="14" t="str">
        <f>CONCATENATE("     ","Freight out/Postage                               ")</f>
        <v xml:space="preserve">     Freight out/Postage                               </v>
      </c>
      <c r="C60" s="14"/>
      <c r="D60" s="2">
        <f>SUM(OSRRefD22_10x_0)</f>
        <v>15.95</v>
      </c>
      <c r="E60" s="2"/>
      <c r="F60" s="6">
        <f t="shared" si="8"/>
        <v>0</v>
      </c>
      <c r="G60" s="2"/>
      <c r="H60" s="2">
        <f>SUM(OSRRefH22_10x_0)</f>
        <v>100</v>
      </c>
      <c r="I60" s="2"/>
      <c r="J60" s="6">
        <f t="shared" si="9"/>
        <v>0</v>
      </c>
      <c r="K60" s="2"/>
      <c r="L60" s="2">
        <f t="shared" si="10"/>
        <v>-84.05</v>
      </c>
      <c r="M60" s="2"/>
      <c r="N60" s="6">
        <f t="shared" si="11"/>
        <v>-0.84050000000000002</v>
      </c>
      <c r="O60" s="14"/>
      <c r="P60" s="2">
        <f>SUM(OSRRefP22_10x_0)</f>
        <v>11280.08</v>
      </c>
      <c r="Q60" s="2"/>
      <c r="R60" s="6">
        <f t="shared" si="12"/>
        <v>0</v>
      </c>
      <c r="S60" s="2"/>
      <c r="T60" s="2">
        <f>SUM(OSRRefT22_10x_0)</f>
        <v>1000</v>
      </c>
      <c r="U60" s="2"/>
      <c r="V60" s="6">
        <f t="shared" si="13"/>
        <v>0</v>
      </c>
      <c r="W60" s="2"/>
      <c r="X60" s="2">
        <f t="shared" si="14"/>
        <v>10280.08</v>
      </c>
      <c r="Y60" s="2"/>
      <c r="Z60" s="6">
        <f t="shared" si="15"/>
        <v>10.28008</v>
      </c>
    </row>
    <row r="61" spans="1:26" s="70" customFormat="1" ht="15" hidden="1" customHeight="1" outlineLevel="2" x14ac:dyDescent="0.3">
      <c r="A61" s="26"/>
      <c r="B61" s="12" t="str">
        <f>CONCATENATE("          ","6307"," - ","POSTAGE")</f>
        <v xml:space="preserve">          6307 - POSTAGE</v>
      </c>
      <c r="C61" s="12"/>
      <c r="D61" s="7">
        <v>15.95</v>
      </c>
      <c r="E61" s="3"/>
      <c r="F61" s="8">
        <f t="shared" si="8"/>
        <v>0</v>
      </c>
      <c r="G61" s="3"/>
      <c r="H61" s="7">
        <v>100</v>
      </c>
      <c r="I61" s="3"/>
      <c r="J61" s="8">
        <f t="shared" si="9"/>
        <v>0</v>
      </c>
      <c r="K61" s="3"/>
      <c r="L61" s="7">
        <f t="shared" si="10"/>
        <v>-84.05</v>
      </c>
      <c r="M61" s="3"/>
      <c r="N61" s="8">
        <f t="shared" si="11"/>
        <v>-0.84050000000000002</v>
      </c>
      <c r="O61" s="12"/>
      <c r="P61" s="7">
        <v>11280.08</v>
      </c>
      <c r="Q61" s="3"/>
      <c r="R61" s="8">
        <f t="shared" si="12"/>
        <v>0</v>
      </c>
      <c r="S61" s="3"/>
      <c r="T61" s="7">
        <v>1000</v>
      </c>
      <c r="U61" s="3"/>
      <c r="V61" s="8">
        <f t="shared" si="13"/>
        <v>0</v>
      </c>
      <c r="W61" s="3"/>
      <c r="X61" s="7">
        <f t="shared" si="14"/>
        <v>10280.08</v>
      </c>
      <c r="Y61" s="3"/>
      <c r="Z61" s="8">
        <f t="shared" si="15"/>
        <v>10.28008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SUM(OSRRefD22_11x_0)</f>
        <v>-72</v>
      </c>
      <c r="E62" s="2"/>
      <c r="F62" s="6">
        <f t="shared" si="8"/>
        <v>0</v>
      </c>
      <c r="G62" s="2"/>
      <c r="H62" s="2">
        <f>SUM(OSRRefH22_11x_0)</f>
        <v>200</v>
      </c>
      <c r="I62" s="2"/>
      <c r="J62" s="6">
        <f t="shared" si="9"/>
        <v>0</v>
      </c>
      <c r="K62" s="2"/>
      <c r="L62" s="2">
        <f t="shared" si="10"/>
        <v>-272</v>
      </c>
      <c r="M62" s="2"/>
      <c r="N62" s="6">
        <f t="shared" si="11"/>
        <v>-1.36</v>
      </c>
      <c r="O62" s="14"/>
      <c r="P62" s="2">
        <f>SUM(OSRRefP22_11x_0)</f>
        <v>2823.8</v>
      </c>
      <c r="Q62" s="2"/>
      <c r="R62" s="6">
        <f t="shared" si="12"/>
        <v>0</v>
      </c>
      <c r="S62" s="2"/>
      <c r="T62" s="2">
        <f>SUM(OSRRefT22_11x_0)</f>
        <v>2000</v>
      </c>
      <c r="U62" s="2"/>
      <c r="V62" s="6">
        <f t="shared" si="13"/>
        <v>0</v>
      </c>
      <c r="W62" s="2"/>
      <c r="X62" s="2">
        <f t="shared" si="14"/>
        <v>823.80000000000018</v>
      </c>
      <c r="Y62" s="2"/>
      <c r="Z62" s="6">
        <f t="shared" si="15"/>
        <v>0.4119000000000001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7">
        <v>-72</v>
      </c>
      <c r="E63" s="3"/>
      <c r="F63" s="8">
        <f t="shared" si="8"/>
        <v>0</v>
      </c>
      <c r="G63" s="3"/>
      <c r="H63" s="7">
        <v>200</v>
      </c>
      <c r="I63" s="3"/>
      <c r="J63" s="8">
        <f t="shared" si="9"/>
        <v>0</v>
      </c>
      <c r="K63" s="3"/>
      <c r="L63" s="7">
        <f t="shared" si="10"/>
        <v>-272</v>
      </c>
      <c r="M63" s="3"/>
      <c r="N63" s="8">
        <f t="shared" si="11"/>
        <v>-1.36</v>
      </c>
      <c r="O63" s="12"/>
      <c r="P63" s="7">
        <v>2823.8</v>
      </c>
      <c r="Q63" s="3"/>
      <c r="R63" s="8">
        <f t="shared" si="12"/>
        <v>0</v>
      </c>
      <c r="S63" s="3"/>
      <c r="T63" s="7">
        <v>2000</v>
      </c>
      <c r="U63" s="3"/>
      <c r="V63" s="8">
        <f t="shared" si="13"/>
        <v>0</v>
      </c>
      <c r="W63" s="3"/>
      <c r="X63" s="7">
        <f t="shared" si="14"/>
        <v>823.80000000000018</v>
      </c>
      <c r="Y63" s="3"/>
      <c r="Z63" s="8">
        <f t="shared" si="15"/>
        <v>0.4119000000000001</v>
      </c>
    </row>
    <row r="64" spans="1:26" s="69" customFormat="1" ht="15" customHeight="1" outlineLevel="1" collapsed="1" x14ac:dyDescent="0.3">
      <c r="A64" s="25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SUM(OSRRefD22_12x_0)</f>
        <v>5275.49</v>
      </c>
      <c r="E64" s="2"/>
      <c r="F64" s="6">
        <f t="shared" si="8"/>
        <v>0</v>
      </c>
      <c r="G64" s="2"/>
      <c r="H64" s="2">
        <f>SUM(OSRRefH22_12x_0)</f>
        <v>5200</v>
      </c>
      <c r="I64" s="2"/>
      <c r="J64" s="6">
        <f t="shared" si="9"/>
        <v>0</v>
      </c>
      <c r="K64" s="2"/>
      <c r="L64" s="2">
        <f t="shared" si="10"/>
        <v>75.489999999999782</v>
      </c>
      <c r="M64" s="2"/>
      <c r="N64" s="6">
        <f t="shared" si="11"/>
        <v>1.4517307692307651E-2</v>
      </c>
      <c r="O64" s="14"/>
      <c r="P64" s="2">
        <f>SUM(OSRRefP22_12x_0)</f>
        <v>52754.9</v>
      </c>
      <c r="Q64" s="2"/>
      <c r="R64" s="6">
        <f t="shared" si="12"/>
        <v>0</v>
      </c>
      <c r="S64" s="2"/>
      <c r="T64" s="2">
        <f>SUM(OSRRefT22_12x_0)</f>
        <v>52000</v>
      </c>
      <c r="U64" s="2"/>
      <c r="V64" s="6">
        <f t="shared" si="13"/>
        <v>0</v>
      </c>
      <c r="W64" s="2"/>
      <c r="X64" s="2">
        <f t="shared" si="14"/>
        <v>754.90000000000146</v>
      </c>
      <c r="Y64" s="2"/>
      <c r="Z64" s="6">
        <f t="shared" si="15"/>
        <v>1.451730769230772E-2</v>
      </c>
    </row>
    <row r="65" spans="1:26" s="70" customFormat="1" ht="15" hidden="1" customHeight="1" outlineLevel="2" x14ac:dyDescent="0.3">
      <c r="A65" s="26"/>
      <c r="B65" s="12" t="str">
        <f>CONCATENATE("          ","6314"," - ","LIABILITY INSURANCE")</f>
        <v xml:space="preserve">          6314 - LIABILITY INSURANCE</v>
      </c>
      <c r="C65" s="12"/>
      <c r="D65" s="7">
        <v>5275.49</v>
      </c>
      <c r="E65" s="3"/>
      <c r="F65" s="8">
        <f t="shared" si="8"/>
        <v>0</v>
      </c>
      <c r="G65" s="3"/>
      <c r="H65" s="7">
        <v>5200</v>
      </c>
      <c r="I65" s="3"/>
      <c r="J65" s="8">
        <f t="shared" si="9"/>
        <v>0</v>
      </c>
      <c r="K65" s="3"/>
      <c r="L65" s="7">
        <f t="shared" si="10"/>
        <v>75.489999999999782</v>
      </c>
      <c r="M65" s="3"/>
      <c r="N65" s="8">
        <f t="shared" si="11"/>
        <v>1.4517307692307651E-2</v>
      </c>
      <c r="O65" s="12"/>
      <c r="P65" s="7">
        <v>52754.9</v>
      </c>
      <c r="Q65" s="3"/>
      <c r="R65" s="8">
        <f t="shared" si="12"/>
        <v>0</v>
      </c>
      <c r="S65" s="3"/>
      <c r="T65" s="7">
        <v>52000</v>
      </c>
      <c r="U65" s="3"/>
      <c r="V65" s="8">
        <f t="shared" si="13"/>
        <v>0</v>
      </c>
      <c r="W65" s="3"/>
      <c r="X65" s="7">
        <f t="shared" si="14"/>
        <v>754.90000000000146</v>
      </c>
      <c r="Y65" s="3"/>
      <c r="Z65" s="8">
        <f t="shared" si="15"/>
        <v>1.451730769230772E-2</v>
      </c>
    </row>
    <row r="66" spans="1:26" s="69" customFormat="1" ht="15" customHeight="1" outlineLevel="1" collapsed="1" x14ac:dyDescent="0.3">
      <c r="A66" s="25"/>
      <c r="B66" s="14" t="str">
        <f>CONCATENATE("     ","Professional Services                             ")</f>
        <v xml:space="preserve">     Professional Services                             </v>
      </c>
      <c r="C66" s="14"/>
      <c r="D66" s="2">
        <f>SUM(OSRRefD22_13x_0)</f>
        <v>0</v>
      </c>
      <c r="E66" s="2"/>
      <c r="F66" s="6">
        <f t="shared" si="8"/>
        <v>0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SUM(OSRRefP22_13x_0)</f>
        <v>7517.43</v>
      </c>
      <c r="Q66" s="2"/>
      <c r="R66" s="6">
        <f t="shared" si="12"/>
        <v>0</v>
      </c>
      <c r="S66" s="2"/>
      <c r="T66" s="2">
        <f>SUM(OSRRefT22_13x_0)</f>
        <v>0</v>
      </c>
      <c r="U66" s="2"/>
      <c r="V66" s="6">
        <f t="shared" si="13"/>
        <v>0</v>
      </c>
      <c r="W66" s="2"/>
      <c r="X66" s="2">
        <f t="shared" si="14"/>
        <v>7517.43</v>
      </c>
      <c r="Y66" s="2"/>
      <c r="Z66" s="6">
        <f t="shared" si="15"/>
        <v>0</v>
      </c>
    </row>
    <row r="67" spans="1:26" s="70" customFormat="1" ht="15" hidden="1" customHeight="1" outlineLevel="2" x14ac:dyDescent="0.3">
      <c r="A67" s="26"/>
      <c r="B67" s="12" t="str">
        <f>CONCATENATE("          ","6336"," - ","PROFESSIONAL SERVICES")</f>
        <v xml:space="preserve">          6336 - PROFESSIONAL SERVICES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7517.43</v>
      </c>
      <c r="Q67" s="3"/>
      <c r="R67" s="8">
        <f t="shared" si="12"/>
        <v>0</v>
      </c>
      <c r="S67" s="3"/>
      <c r="T67" s="7"/>
      <c r="U67" s="3"/>
      <c r="V67" s="8">
        <f t="shared" si="13"/>
        <v>0</v>
      </c>
      <c r="W67" s="3"/>
      <c r="X67" s="7">
        <f t="shared" si="14"/>
        <v>7517.43</v>
      </c>
      <c r="Y67" s="3"/>
      <c r="Z67" s="8">
        <f t="shared" si="15"/>
        <v>0</v>
      </c>
    </row>
    <row r="68" spans="1:26" s="69" customFormat="1" ht="15" customHeight="1" outlineLevel="1" collapsed="1" x14ac:dyDescent="0.3">
      <c r="A68" s="25"/>
      <c r="B68" s="14" t="str">
        <f>CONCATENATE("     ","Rent                                              ")</f>
        <v xml:space="preserve">     Rent                                              </v>
      </c>
      <c r="C68" s="14"/>
      <c r="D68" s="2">
        <f>SUM(OSRRefD22_14x_0)</f>
        <v>-800</v>
      </c>
      <c r="E68" s="2"/>
      <c r="F68" s="6">
        <f t="shared" si="8"/>
        <v>0</v>
      </c>
      <c r="G68" s="2"/>
      <c r="H68" s="2">
        <f>SUM(OSRRefH22_14x_0)</f>
        <v>-800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-8000</v>
      </c>
      <c r="Q68" s="2"/>
      <c r="R68" s="6">
        <f t="shared" si="12"/>
        <v>0</v>
      </c>
      <c r="S68" s="2"/>
      <c r="T68" s="2">
        <f>SUM(OSRRefT22_14x_0)</f>
        <v>-8000</v>
      </c>
      <c r="U68" s="2"/>
      <c r="V68" s="6">
        <f t="shared" si="13"/>
        <v>0</v>
      </c>
      <c r="W68" s="2"/>
      <c r="X68" s="2">
        <f t="shared" si="14"/>
        <v>0</v>
      </c>
      <c r="Y68" s="2"/>
      <c r="Z68" s="6">
        <f t="shared" si="15"/>
        <v>0</v>
      </c>
    </row>
    <row r="69" spans="1:26" s="70" customFormat="1" ht="15" hidden="1" customHeight="1" outlineLevel="2" x14ac:dyDescent="0.3">
      <c r="A69" s="26"/>
      <c r="B69" s="12" t="str">
        <f>CONCATENATE("          ","6273"," - ","RENT")</f>
        <v xml:space="preserve">          6273 - RENT</v>
      </c>
      <c r="C69" s="12"/>
      <c r="D69" s="7">
        <v>-800</v>
      </c>
      <c r="E69" s="3"/>
      <c r="F69" s="8">
        <f t="shared" si="8"/>
        <v>0</v>
      </c>
      <c r="G69" s="3"/>
      <c r="H69" s="7">
        <v>-800</v>
      </c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-8000</v>
      </c>
      <c r="Q69" s="3"/>
      <c r="R69" s="8">
        <f t="shared" si="12"/>
        <v>0</v>
      </c>
      <c r="S69" s="3"/>
      <c r="T69" s="7">
        <v>-8000</v>
      </c>
      <c r="U69" s="3"/>
      <c r="V69" s="8">
        <f t="shared" si="13"/>
        <v>0</v>
      </c>
      <c r="W69" s="3"/>
      <c r="X69" s="7">
        <f t="shared" si="14"/>
        <v>0</v>
      </c>
      <c r="Y69" s="3"/>
      <c r="Z69" s="8">
        <f t="shared" si="15"/>
        <v>0</v>
      </c>
    </row>
    <row r="70" spans="1:26" s="69" customFormat="1" ht="15" customHeight="1" outlineLevel="1" collapsed="1" x14ac:dyDescent="0.3">
      <c r="A70" s="25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SUM(OSRRefD22_15x_0)</f>
        <v>2266.6099999999997</v>
      </c>
      <c r="E70" s="2"/>
      <c r="F70" s="6">
        <f t="shared" si="8"/>
        <v>0</v>
      </c>
      <c r="G70" s="2"/>
      <c r="H70" s="2">
        <f>SUM(OSRRefH22_15x_0)</f>
        <v>4950</v>
      </c>
      <c r="I70" s="2"/>
      <c r="J70" s="6">
        <f t="shared" si="9"/>
        <v>0</v>
      </c>
      <c r="K70" s="2"/>
      <c r="L70" s="2">
        <f t="shared" si="10"/>
        <v>-2683.3900000000003</v>
      </c>
      <c r="M70" s="2"/>
      <c r="N70" s="6">
        <f t="shared" si="11"/>
        <v>-0.54209898989898997</v>
      </c>
      <c r="O70" s="14"/>
      <c r="P70" s="2">
        <f>SUM(OSRRefP22_15x_0)</f>
        <v>96207.150000000009</v>
      </c>
      <c r="Q70" s="2"/>
      <c r="R70" s="6">
        <f t="shared" si="12"/>
        <v>0</v>
      </c>
      <c r="S70" s="2"/>
      <c r="T70" s="2">
        <f>SUM(OSRRefT22_15x_0)</f>
        <v>100920</v>
      </c>
      <c r="U70" s="2"/>
      <c r="V70" s="6">
        <f t="shared" si="13"/>
        <v>0</v>
      </c>
      <c r="W70" s="2"/>
      <c r="X70" s="2">
        <f t="shared" si="14"/>
        <v>-4712.8499999999913</v>
      </c>
      <c r="Y70" s="2"/>
      <c r="Z70" s="6">
        <f t="shared" si="15"/>
        <v>-4.6698870392389923E-2</v>
      </c>
    </row>
    <row r="71" spans="1:26" s="70" customFormat="1" ht="15" hidden="1" customHeight="1" outlineLevel="2" x14ac:dyDescent="0.3">
      <c r="A71" s="26"/>
      <c r="B71" s="12" t="str">
        <f>CONCATENATE("          ","6371"," - ","COMPUTER SOFTWARE MAINTENANCE")</f>
        <v xml:space="preserve">          6371 - COMPUTER SOFTWARE MAINTENANCE</v>
      </c>
      <c r="C71" s="12"/>
      <c r="D71" s="7"/>
      <c r="E71" s="3"/>
      <c r="F71" s="8">
        <f t="shared" si="8"/>
        <v>0</v>
      </c>
      <c r="G71" s="3"/>
      <c r="H71" s="7">
        <v>1000</v>
      </c>
      <c r="I71" s="3"/>
      <c r="J71" s="8">
        <f t="shared" si="9"/>
        <v>0</v>
      </c>
      <c r="K71" s="3"/>
      <c r="L71" s="7">
        <f t="shared" si="10"/>
        <v>-1000</v>
      </c>
      <c r="M71" s="3"/>
      <c r="N71" s="8">
        <f t="shared" si="11"/>
        <v>-1</v>
      </c>
      <c r="O71" s="12"/>
      <c r="P71" s="7">
        <v>56736</v>
      </c>
      <c r="Q71" s="3"/>
      <c r="R71" s="8">
        <f t="shared" si="12"/>
        <v>0</v>
      </c>
      <c r="S71" s="3"/>
      <c r="T71" s="7">
        <v>49000</v>
      </c>
      <c r="U71" s="3"/>
      <c r="V71" s="8">
        <f t="shared" si="13"/>
        <v>0</v>
      </c>
      <c r="W71" s="3"/>
      <c r="X71" s="7">
        <f t="shared" si="14"/>
        <v>7736</v>
      </c>
      <c r="Y71" s="3"/>
      <c r="Z71" s="8">
        <f t="shared" si="15"/>
        <v>0.15787755102040815</v>
      </c>
    </row>
    <row r="72" spans="1:26" s="70" customFormat="1" ht="15" hidden="1" customHeight="1" outlineLevel="2" x14ac:dyDescent="0.3">
      <c r="A72" s="26"/>
      <c r="B72" s="12" t="str">
        <f>CONCATENATE("          ","6372"," - ","COMPUTER HARDWARE MAINTENANCE")</f>
        <v xml:space="preserve">          6372 - COMPUTER HARDWARE MAINTENANCE</v>
      </c>
      <c r="C72" s="12"/>
      <c r="D72" s="7"/>
      <c r="E72" s="3"/>
      <c r="F72" s="8">
        <f t="shared" si="8"/>
        <v>0</v>
      </c>
      <c r="G72" s="3"/>
      <c r="H72" s="7">
        <v>3750</v>
      </c>
      <c r="I72" s="3"/>
      <c r="J72" s="8">
        <f t="shared" si="9"/>
        <v>0</v>
      </c>
      <c r="K72" s="3"/>
      <c r="L72" s="7">
        <f t="shared" si="10"/>
        <v>-3750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34120</v>
      </c>
      <c r="U72" s="3"/>
      <c r="V72" s="8">
        <f t="shared" si="13"/>
        <v>0</v>
      </c>
      <c r="W72" s="3"/>
      <c r="X72" s="7">
        <f t="shared" si="14"/>
        <v>-34120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7">
        <v>12.89</v>
      </c>
      <c r="E73" s="3"/>
      <c r="F73" s="8">
        <f t="shared" si="8"/>
        <v>0</v>
      </c>
      <c r="G73" s="3"/>
      <c r="H73" s="7">
        <v>200</v>
      </c>
      <c r="I73" s="3"/>
      <c r="J73" s="8">
        <f t="shared" si="9"/>
        <v>0</v>
      </c>
      <c r="K73" s="3"/>
      <c r="L73" s="7">
        <f t="shared" si="10"/>
        <v>-187.11</v>
      </c>
      <c r="M73" s="3"/>
      <c r="N73" s="8">
        <f t="shared" si="11"/>
        <v>-0.9355500000000001</v>
      </c>
      <c r="O73" s="12"/>
      <c r="P73" s="7">
        <v>11920.1</v>
      </c>
      <c r="Q73" s="3"/>
      <c r="R73" s="8">
        <f t="shared" si="12"/>
        <v>0</v>
      </c>
      <c r="S73" s="3"/>
      <c r="T73" s="7">
        <v>17800</v>
      </c>
      <c r="U73" s="3"/>
      <c r="V73" s="8">
        <f t="shared" si="13"/>
        <v>0</v>
      </c>
      <c r="W73" s="3"/>
      <c r="X73" s="7">
        <f t="shared" si="14"/>
        <v>-5879.9</v>
      </c>
      <c r="Y73" s="3"/>
      <c r="Z73" s="8">
        <f t="shared" si="15"/>
        <v>-0.33033146067415731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7">
        <v>2253.7199999999998</v>
      </c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2253.7199999999998</v>
      </c>
      <c r="M74" s="3"/>
      <c r="N74" s="8">
        <f t="shared" si="11"/>
        <v>0</v>
      </c>
      <c r="O74" s="12"/>
      <c r="P74" s="7">
        <v>27551.05</v>
      </c>
      <c r="Q74" s="3"/>
      <c r="R74" s="8">
        <f t="shared" si="12"/>
        <v>0</v>
      </c>
      <c r="S74" s="3"/>
      <c r="T74" s="7"/>
      <c r="U74" s="3"/>
      <c r="V74" s="8">
        <f t="shared" si="13"/>
        <v>0</v>
      </c>
      <c r="W74" s="3"/>
      <c r="X74" s="7">
        <f t="shared" si="14"/>
        <v>27551.05</v>
      </c>
      <c r="Y74" s="3"/>
      <c r="Z74" s="8">
        <f t="shared" si="15"/>
        <v>0</v>
      </c>
    </row>
    <row r="75" spans="1:26" s="69" customFormat="1" ht="15" customHeight="1" outlineLevel="1" collapsed="1" x14ac:dyDescent="0.3">
      <c r="A75" s="25"/>
      <c r="B75" s="14" t="str">
        <f>CONCATENATE("     ","Services                                          ")</f>
        <v xml:space="preserve">     Services                                          </v>
      </c>
      <c r="C75" s="14"/>
      <c r="D75" s="2">
        <f>SUM(OSRRefD22_16x_0)</f>
        <v>4338.57</v>
      </c>
      <c r="E75" s="2"/>
      <c r="F75" s="6">
        <f t="shared" si="8"/>
        <v>0</v>
      </c>
      <c r="G75" s="2"/>
      <c r="H75" s="2">
        <f>SUM(OSRRefH22_16x_0)</f>
        <v>4300</v>
      </c>
      <c r="I75" s="2"/>
      <c r="J75" s="6">
        <f t="shared" si="9"/>
        <v>0</v>
      </c>
      <c r="K75" s="2"/>
      <c r="L75" s="2">
        <f t="shared" si="10"/>
        <v>38.569999999999709</v>
      </c>
      <c r="M75" s="2"/>
      <c r="N75" s="6">
        <f t="shared" si="11"/>
        <v>8.9697674418603972E-3</v>
      </c>
      <c r="O75" s="14"/>
      <c r="P75" s="2">
        <f>SUM(OSRRefP22_16x_0)</f>
        <v>50473.279999999999</v>
      </c>
      <c r="Q75" s="2"/>
      <c r="R75" s="6">
        <f t="shared" si="12"/>
        <v>0</v>
      </c>
      <c r="S75" s="2"/>
      <c r="T75" s="2">
        <f>SUM(OSRRefT22_16x_0)</f>
        <v>43000</v>
      </c>
      <c r="U75" s="2"/>
      <c r="V75" s="6">
        <f t="shared" si="13"/>
        <v>0</v>
      </c>
      <c r="W75" s="2"/>
      <c r="X75" s="2">
        <f t="shared" si="14"/>
        <v>7473.2799999999988</v>
      </c>
      <c r="Y75" s="2"/>
      <c r="Z75" s="6">
        <f t="shared" si="15"/>
        <v>0.17379720930232556</v>
      </c>
    </row>
    <row r="76" spans="1:26" s="70" customFormat="1" ht="15" hidden="1" customHeight="1" outlineLevel="2" x14ac:dyDescent="0.3">
      <c r="A76" s="26"/>
      <c r="B76" s="12" t="str">
        <f>CONCATENATE("          ","6282"," - ","JANITORIAL/EXTERMINATOR EXPENS")</f>
        <v xml:space="preserve">          6282 - JANITORIAL/EXTERMINATOR EXPENS</v>
      </c>
      <c r="C76" s="12"/>
      <c r="D76" s="7">
        <v>140.65</v>
      </c>
      <c r="E76" s="3"/>
      <c r="F76" s="8">
        <f t="shared" si="8"/>
        <v>0</v>
      </c>
      <c r="G76" s="3"/>
      <c r="H76" s="7">
        <v>4300</v>
      </c>
      <c r="I76" s="3"/>
      <c r="J76" s="8">
        <f t="shared" si="9"/>
        <v>0</v>
      </c>
      <c r="K76" s="3"/>
      <c r="L76" s="7">
        <f t="shared" si="10"/>
        <v>-4159.3500000000004</v>
      </c>
      <c r="M76" s="3"/>
      <c r="N76" s="8">
        <f t="shared" si="11"/>
        <v>-0.96729069767441866</v>
      </c>
      <c r="O76" s="12"/>
      <c r="P76" s="7">
        <v>2057.6799999999998</v>
      </c>
      <c r="Q76" s="3"/>
      <c r="R76" s="8">
        <f t="shared" si="12"/>
        <v>0</v>
      </c>
      <c r="S76" s="3"/>
      <c r="T76" s="7">
        <v>43000</v>
      </c>
      <c r="U76" s="3"/>
      <c r="V76" s="8">
        <f t="shared" si="13"/>
        <v>0</v>
      </c>
      <c r="W76" s="3"/>
      <c r="X76" s="7">
        <f t="shared" si="14"/>
        <v>-40942.32</v>
      </c>
      <c r="Y76" s="3"/>
      <c r="Z76" s="8">
        <f t="shared" si="15"/>
        <v>-0.95214697674418602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7">
        <v>4197.92</v>
      </c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4197.92</v>
      </c>
      <c r="M77" s="3"/>
      <c r="N77" s="8">
        <f t="shared" si="11"/>
        <v>0</v>
      </c>
      <c r="O77" s="12"/>
      <c r="P77" s="7">
        <v>48415.6</v>
      </c>
      <c r="Q77" s="3"/>
      <c r="R77" s="8">
        <f t="shared" si="12"/>
        <v>0</v>
      </c>
      <c r="S77" s="3"/>
      <c r="T77" s="7"/>
      <c r="U77" s="3"/>
      <c r="V77" s="8">
        <f t="shared" si="13"/>
        <v>0</v>
      </c>
      <c r="W77" s="3"/>
      <c r="X77" s="7">
        <f t="shared" si="14"/>
        <v>48415.6</v>
      </c>
      <c r="Y77" s="3"/>
      <c r="Z77" s="8">
        <f t="shared" si="15"/>
        <v>0</v>
      </c>
    </row>
    <row r="78" spans="1:26" s="69" customFormat="1" ht="15" customHeight="1" outlineLevel="1" collapsed="1" x14ac:dyDescent="0.3">
      <c r="A78" s="25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SUM(OSRRefD22_17x_0)</f>
        <v>0</v>
      </c>
      <c r="E78" s="2"/>
      <c r="F78" s="6">
        <f t="shared" si="8"/>
        <v>0</v>
      </c>
      <c r="G78" s="2"/>
      <c r="H78" s="2">
        <f>SUM(OSRRefH22_17x_0)</f>
        <v>1000</v>
      </c>
      <c r="I78" s="2"/>
      <c r="J78" s="6">
        <f t="shared" si="9"/>
        <v>0</v>
      </c>
      <c r="K78" s="2"/>
      <c r="L78" s="2">
        <f t="shared" si="10"/>
        <v>-1000</v>
      </c>
      <c r="M78" s="2"/>
      <c r="N78" s="6">
        <f t="shared" si="11"/>
        <v>-1</v>
      </c>
      <c r="O78" s="14"/>
      <c r="P78" s="2">
        <f>SUM(OSRRefP22_17x_0)</f>
        <v>-120</v>
      </c>
      <c r="Q78" s="2"/>
      <c r="R78" s="6">
        <f t="shared" si="12"/>
        <v>0</v>
      </c>
      <c r="S78" s="2"/>
      <c r="T78" s="2">
        <f>SUM(OSRRefT22_17x_0)</f>
        <v>5000</v>
      </c>
      <c r="U78" s="2"/>
      <c r="V78" s="6">
        <f t="shared" si="13"/>
        <v>0</v>
      </c>
      <c r="W78" s="2"/>
      <c r="X78" s="2">
        <f t="shared" si="14"/>
        <v>-5120</v>
      </c>
      <c r="Y78" s="2"/>
      <c r="Z78" s="6">
        <f t="shared" si="15"/>
        <v>-1.024</v>
      </c>
    </row>
    <row r="79" spans="1:26" s="70" customFormat="1" ht="15" hidden="1" customHeight="1" outlineLevel="2" x14ac:dyDescent="0.3">
      <c r="A79" s="26"/>
      <c r="B79" s="12" t="str">
        <f>CONCATENATE("          ","6258"," - ","MEMBERSHIP DUES")</f>
        <v xml:space="preserve">          6258 - MEMBERSHIP DUES</v>
      </c>
      <c r="C79" s="12"/>
      <c r="D79" s="7"/>
      <c r="E79" s="3"/>
      <c r="F79" s="8">
        <f t="shared" si="8"/>
        <v>0</v>
      </c>
      <c r="G79" s="3"/>
      <c r="H79" s="7">
        <v>1000</v>
      </c>
      <c r="I79" s="3"/>
      <c r="J79" s="8">
        <f t="shared" si="9"/>
        <v>0</v>
      </c>
      <c r="K79" s="3"/>
      <c r="L79" s="7">
        <f t="shared" si="10"/>
        <v>-1000</v>
      </c>
      <c r="M79" s="3"/>
      <c r="N79" s="8">
        <f t="shared" si="11"/>
        <v>-1</v>
      </c>
      <c r="O79" s="12"/>
      <c r="P79" s="7">
        <v>-120</v>
      </c>
      <c r="Q79" s="3"/>
      <c r="R79" s="8">
        <f t="shared" si="12"/>
        <v>0</v>
      </c>
      <c r="S79" s="3"/>
      <c r="T79" s="7">
        <v>5000</v>
      </c>
      <c r="U79" s="3"/>
      <c r="V79" s="8">
        <f t="shared" si="13"/>
        <v>0</v>
      </c>
      <c r="W79" s="3"/>
      <c r="X79" s="7">
        <f t="shared" si="14"/>
        <v>-5120</v>
      </c>
      <c r="Y79" s="3"/>
      <c r="Z79" s="8">
        <f t="shared" si="15"/>
        <v>-1.024</v>
      </c>
    </row>
    <row r="80" spans="1:26" s="69" customFormat="1" ht="15" customHeight="1" outlineLevel="1" collapsed="1" x14ac:dyDescent="0.3">
      <c r="A80" s="25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SUM(OSRRefD22_18x_0)</f>
        <v>2379.4499999999998</v>
      </c>
      <c r="E80" s="2"/>
      <c r="F80" s="6">
        <f t="shared" si="8"/>
        <v>0</v>
      </c>
      <c r="G80" s="2"/>
      <c r="H80" s="2">
        <f>SUM(OSRRefH22_18x_0)</f>
        <v>5500</v>
      </c>
      <c r="I80" s="2"/>
      <c r="J80" s="6">
        <f t="shared" si="9"/>
        <v>0</v>
      </c>
      <c r="K80" s="2"/>
      <c r="L80" s="2">
        <f t="shared" si="10"/>
        <v>-3120.55</v>
      </c>
      <c r="M80" s="2"/>
      <c r="N80" s="6">
        <f t="shared" si="11"/>
        <v>-0.56737272727272725</v>
      </c>
      <c r="O80" s="14"/>
      <c r="P80" s="2">
        <f>SUM(OSRRefP22_18x_0)</f>
        <v>40448.67</v>
      </c>
      <c r="Q80" s="2"/>
      <c r="R80" s="6">
        <f t="shared" si="12"/>
        <v>0</v>
      </c>
      <c r="S80" s="2"/>
      <c r="T80" s="2">
        <f>SUM(OSRRefT22_18x_0)</f>
        <v>54400</v>
      </c>
      <c r="U80" s="2"/>
      <c r="V80" s="6">
        <f t="shared" si="13"/>
        <v>0</v>
      </c>
      <c r="W80" s="2"/>
      <c r="X80" s="2">
        <f t="shared" si="14"/>
        <v>-13951.330000000002</v>
      </c>
      <c r="Y80" s="2"/>
      <c r="Z80" s="6">
        <f t="shared" si="15"/>
        <v>-0.25645827205882354</v>
      </c>
    </row>
    <row r="81" spans="1:26" s="70" customFormat="1" ht="15" hidden="1" customHeight="1" outlineLevel="2" x14ac:dyDescent="0.3">
      <c r="A81" s="26"/>
      <c r="B81" s="12" t="str">
        <f>CONCATENATE("          ","6234"," - ","EXPENDABLE SUPPLIES &amp; EQUIPMEN")</f>
        <v xml:space="preserve">          6234 - EXPENDABLE SUPPLIES &amp; EQUIPMEN</v>
      </c>
      <c r="C81" s="12"/>
      <c r="D81" s="7"/>
      <c r="E81" s="3"/>
      <c r="F81" s="8">
        <f t="shared" si="8"/>
        <v>0</v>
      </c>
      <c r="G81" s="3"/>
      <c r="H81" s="7">
        <v>300</v>
      </c>
      <c r="I81" s="3"/>
      <c r="J81" s="8">
        <f t="shared" si="9"/>
        <v>0</v>
      </c>
      <c r="K81" s="3"/>
      <c r="L81" s="7">
        <f t="shared" si="10"/>
        <v>-300</v>
      </c>
      <c r="M81" s="3"/>
      <c r="N81" s="8">
        <f t="shared" si="11"/>
        <v>-1</v>
      </c>
      <c r="O81" s="12"/>
      <c r="P81" s="7">
        <v>3896.02</v>
      </c>
      <c r="Q81" s="3"/>
      <c r="R81" s="8">
        <f t="shared" si="12"/>
        <v>0</v>
      </c>
      <c r="S81" s="3"/>
      <c r="T81" s="7">
        <v>2400</v>
      </c>
      <c r="U81" s="3"/>
      <c r="V81" s="8">
        <f t="shared" si="13"/>
        <v>0</v>
      </c>
      <c r="W81" s="3"/>
      <c r="X81" s="7">
        <f t="shared" si="14"/>
        <v>1496.02</v>
      </c>
      <c r="Y81" s="3"/>
      <c r="Z81" s="8">
        <f t="shared" si="15"/>
        <v>0.62334166666666668</v>
      </c>
    </row>
    <row r="82" spans="1:26" s="70" customFormat="1" ht="15" hidden="1" customHeight="1" outlineLevel="2" x14ac:dyDescent="0.3">
      <c r="A82" s="26"/>
      <c r="B82" s="12" t="str">
        <f>CONCATENATE("          ","6235"," - ","COVID-19 EXPENSES")</f>
        <v xml:space="preserve">          6235 - COVID-19 EXPENSES</v>
      </c>
      <c r="C82" s="12"/>
      <c r="D82" s="7"/>
      <c r="E82" s="3"/>
      <c r="F82" s="8">
        <f t="shared" si="8"/>
        <v>0</v>
      </c>
      <c r="G82" s="3"/>
      <c r="H82" s="7">
        <v>100</v>
      </c>
      <c r="I82" s="3"/>
      <c r="J82" s="8">
        <f t="shared" si="9"/>
        <v>0</v>
      </c>
      <c r="K82" s="3"/>
      <c r="L82" s="7">
        <f t="shared" si="10"/>
        <v>-100</v>
      </c>
      <c r="M82" s="3"/>
      <c r="N82" s="8">
        <f t="shared" si="11"/>
        <v>-1</v>
      </c>
      <c r="O82" s="12"/>
      <c r="P82" s="7">
        <v>3430.32</v>
      </c>
      <c r="Q82" s="3"/>
      <c r="R82" s="8">
        <f t="shared" si="12"/>
        <v>0</v>
      </c>
      <c r="S82" s="3"/>
      <c r="T82" s="7">
        <v>1000</v>
      </c>
      <c r="U82" s="3"/>
      <c r="V82" s="8">
        <f t="shared" si="13"/>
        <v>0</v>
      </c>
      <c r="W82" s="3"/>
      <c r="X82" s="7">
        <f t="shared" si="14"/>
        <v>2430.3200000000002</v>
      </c>
      <c r="Y82" s="3"/>
      <c r="Z82" s="8">
        <f t="shared" si="15"/>
        <v>2.43032</v>
      </c>
    </row>
    <row r="83" spans="1:26" s="70" customFormat="1" ht="15" hidden="1" customHeight="1" outlineLevel="2" x14ac:dyDescent="0.3">
      <c r="A83" s="26"/>
      <c r="B83" s="12" t="str">
        <f>CONCATENATE("          ","6237"," - ","JANITORIAL SUPPLIES")</f>
        <v xml:space="preserve">          6237 - JANITORIAL SUPPLIES</v>
      </c>
      <c r="C83" s="12"/>
      <c r="D83" s="7">
        <v>713.9</v>
      </c>
      <c r="E83" s="3"/>
      <c r="F83" s="8">
        <f t="shared" ref="F83:F95" si="16">IF(D$12=0,0,D83/D$12)</f>
        <v>0</v>
      </c>
      <c r="G83" s="3"/>
      <c r="H83" s="7"/>
      <c r="I83" s="3"/>
      <c r="J83" s="8">
        <f t="shared" ref="J83:J95" si="17">IF(H$12=0,0,H83/H$12)</f>
        <v>0</v>
      </c>
      <c r="K83" s="3"/>
      <c r="L83" s="7">
        <f t="shared" ref="L83:L95" si="18">+D83-H83</f>
        <v>713.9</v>
      </c>
      <c r="M83" s="3"/>
      <c r="N83" s="8">
        <f t="shared" ref="N83:N95" si="19">IF(H83=0,0,L83/H83)</f>
        <v>0</v>
      </c>
      <c r="O83" s="12"/>
      <c r="P83" s="7">
        <v>5425.89</v>
      </c>
      <c r="Q83" s="3"/>
      <c r="R83" s="8">
        <f t="shared" ref="R83:R95" si="20">IF(P$12=0,0,P83/P$12)</f>
        <v>0</v>
      </c>
      <c r="S83" s="3"/>
      <c r="T83" s="7"/>
      <c r="U83" s="3"/>
      <c r="V83" s="8">
        <f t="shared" ref="V83:V95" si="21">IF(T$12=0,0,T83/T$12)</f>
        <v>0</v>
      </c>
      <c r="W83" s="3"/>
      <c r="X83" s="7">
        <f t="shared" ref="X83:X95" si="22">+P83-T83</f>
        <v>5425.89</v>
      </c>
      <c r="Y83" s="3"/>
      <c r="Z83" s="8">
        <f t="shared" ref="Z83:Z95" si="23">IF(T83=0,0,X83/T83)</f>
        <v>0</v>
      </c>
    </row>
    <row r="84" spans="1:26" s="70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7">
        <v>105.44</v>
      </c>
      <c r="E84" s="3"/>
      <c r="F84" s="8">
        <f t="shared" si="16"/>
        <v>0</v>
      </c>
      <c r="G84" s="3"/>
      <c r="H84" s="7">
        <v>100</v>
      </c>
      <c r="I84" s="3"/>
      <c r="J84" s="8">
        <f t="shared" si="17"/>
        <v>0</v>
      </c>
      <c r="K84" s="3"/>
      <c r="L84" s="7">
        <f t="shared" si="18"/>
        <v>5.4399999999999977</v>
      </c>
      <c r="M84" s="3"/>
      <c r="N84" s="8">
        <f t="shared" si="19"/>
        <v>5.4399999999999976E-2</v>
      </c>
      <c r="O84" s="12"/>
      <c r="P84" s="7">
        <v>2023.93</v>
      </c>
      <c r="Q84" s="3"/>
      <c r="R84" s="8">
        <f t="shared" si="20"/>
        <v>0</v>
      </c>
      <c r="S84" s="3"/>
      <c r="T84" s="7">
        <v>1000</v>
      </c>
      <c r="U84" s="3"/>
      <c r="V84" s="8">
        <f t="shared" si="21"/>
        <v>0</v>
      </c>
      <c r="W84" s="3"/>
      <c r="X84" s="7">
        <f t="shared" si="22"/>
        <v>1023.9300000000001</v>
      </c>
      <c r="Y84" s="3"/>
      <c r="Z84" s="8">
        <f t="shared" si="23"/>
        <v>1.02393</v>
      </c>
    </row>
    <row r="85" spans="1:26" s="70" customFormat="1" ht="15" hidden="1" customHeight="1" outlineLevel="2" x14ac:dyDescent="0.3">
      <c r="A85" s="26"/>
      <c r="B85" s="12" t="str">
        <f>CONCATENATE("          ","6245"," - ","PRINTING")</f>
        <v xml:space="preserve">          6245 - PRINTING</v>
      </c>
      <c r="C85" s="12"/>
      <c r="D85" s="7"/>
      <c r="E85" s="3"/>
      <c r="F85" s="8">
        <f t="shared" si="16"/>
        <v>0</v>
      </c>
      <c r="G85" s="3"/>
      <c r="H85" s="7"/>
      <c r="I85" s="3"/>
      <c r="J85" s="8">
        <f t="shared" si="17"/>
        <v>0</v>
      </c>
      <c r="K85" s="3"/>
      <c r="L85" s="7">
        <f t="shared" si="18"/>
        <v>0</v>
      </c>
      <c r="M85" s="3"/>
      <c r="N85" s="8">
        <f t="shared" si="19"/>
        <v>0</v>
      </c>
      <c r="O85" s="12"/>
      <c r="P85" s="7">
        <v>1618.44</v>
      </c>
      <c r="Q85" s="3"/>
      <c r="R85" s="8">
        <f t="shared" si="20"/>
        <v>0</v>
      </c>
      <c r="S85" s="3"/>
      <c r="T85" s="7"/>
      <c r="U85" s="3"/>
      <c r="V85" s="8">
        <f t="shared" si="21"/>
        <v>0</v>
      </c>
      <c r="W85" s="3"/>
      <c r="X85" s="7">
        <f t="shared" si="22"/>
        <v>1618.44</v>
      </c>
      <c r="Y85" s="3"/>
      <c r="Z85" s="8">
        <f t="shared" si="23"/>
        <v>0</v>
      </c>
    </row>
    <row r="86" spans="1:26" s="70" customFormat="1" ht="15" hidden="1" customHeight="1" outlineLevel="2" x14ac:dyDescent="0.3">
      <c r="A86" s="26"/>
      <c r="B86" s="12" t="str">
        <f>CONCATENATE("          ","6247"," - ","STORE SUPPLIES")</f>
        <v xml:space="preserve">          6247 - STORE SUPPLIES</v>
      </c>
      <c r="C86" s="12"/>
      <c r="D86" s="7">
        <v>1560.11</v>
      </c>
      <c r="E86" s="3"/>
      <c r="F86" s="8">
        <f t="shared" si="16"/>
        <v>0</v>
      </c>
      <c r="G86" s="3"/>
      <c r="H86" s="7">
        <v>5000</v>
      </c>
      <c r="I86" s="3"/>
      <c r="J86" s="8">
        <f t="shared" si="17"/>
        <v>0</v>
      </c>
      <c r="K86" s="3"/>
      <c r="L86" s="7">
        <f t="shared" si="18"/>
        <v>-3439.8900000000003</v>
      </c>
      <c r="M86" s="3"/>
      <c r="N86" s="8">
        <f t="shared" si="19"/>
        <v>-0.68797800000000009</v>
      </c>
      <c r="O86" s="12"/>
      <c r="P86" s="7">
        <v>24054.07</v>
      </c>
      <c r="Q86" s="3"/>
      <c r="R86" s="8">
        <f t="shared" si="20"/>
        <v>0</v>
      </c>
      <c r="S86" s="3"/>
      <c r="T86" s="7">
        <v>50000</v>
      </c>
      <c r="U86" s="3"/>
      <c r="V86" s="8">
        <f t="shared" si="21"/>
        <v>0</v>
      </c>
      <c r="W86" s="3"/>
      <c r="X86" s="7">
        <f t="shared" si="22"/>
        <v>-25945.93</v>
      </c>
      <c r="Y86" s="3"/>
      <c r="Z86" s="8">
        <f t="shared" si="23"/>
        <v>-0.51891860000000001</v>
      </c>
    </row>
    <row r="87" spans="1:26" s="69" customFormat="1" ht="15" customHeight="1" outlineLevel="1" collapsed="1" x14ac:dyDescent="0.3">
      <c r="A87" s="25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SUM(OSRRefD22_19x_0)</f>
        <v>713.9</v>
      </c>
      <c r="E87" s="2"/>
      <c r="F87" s="6">
        <f t="shared" si="16"/>
        <v>0</v>
      </c>
      <c r="G87" s="2"/>
      <c r="H87" s="2">
        <f>SUM(OSRRefH22_19x_0)</f>
        <v>600</v>
      </c>
      <c r="I87" s="2"/>
      <c r="J87" s="6">
        <f t="shared" si="17"/>
        <v>0</v>
      </c>
      <c r="K87" s="2"/>
      <c r="L87" s="2">
        <f t="shared" si="18"/>
        <v>113.89999999999998</v>
      </c>
      <c r="M87" s="2"/>
      <c r="N87" s="6">
        <f t="shared" si="19"/>
        <v>0.1898333333333333</v>
      </c>
      <c r="O87" s="14"/>
      <c r="P87" s="2">
        <f>SUM(OSRRefP22_19x_0)</f>
        <v>6057.12</v>
      </c>
      <c r="Q87" s="2"/>
      <c r="R87" s="6">
        <f t="shared" si="20"/>
        <v>0</v>
      </c>
      <c r="S87" s="2"/>
      <c r="T87" s="2">
        <f>SUM(OSRRefT22_19x_0)</f>
        <v>6000</v>
      </c>
      <c r="U87" s="2"/>
      <c r="V87" s="6">
        <f t="shared" si="21"/>
        <v>0</v>
      </c>
      <c r="W87" s="2"/>
      <c r="X87" s="2">
        <f t="shared" si="22"/>
        <v>57.119999999999891</v>
      </c>
      <c r="Y87" s="2"/>
      <c r="Z87" s="6">
        <f t="shared" si="23"/>
        <v>9.5199999999999816E-3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713.9</v>
      </c>
      <c r="E88" s="3"/>
      <c r="F88" s="8">
        <f t="shared" si="16"/>
        <v>0</v>
      </c>
      <c r="G88" s="3"/>
      <c r="H88" s="7">
        <v>600</v>
      </c>
      <c r="I88" s="3"/>
      <c r="J88" s="8">
        <f t="shared" si="17"/>
        <v>0</v>
      </c>
      <c r="K88" s="3"/>
      <c r="L88" s="7">
        <f t="shared" si="18"/>
        <v>113.89999999999998</v>
      </c>
      <c r="M88" s="3"/>
      <c r="N88" s="8">
        <f t="shared" si="19"/>
        <v>0.1898333333333333</v>
      </c>
      <c r="O88" s="12"/>
      <c r="P88" s="7">
        <v>6057.12</v>
      </c>
      <c r="Q88" s="3"/>
      <c r="R88" s="8">
        <f t="shared" si="20"/>
        <v>0</v>
      </c>
      <c r="S88" s="3"/>
      <c r="T88" s="7">
        <v>6000</v>
      </c>
      <c r="U88" s="3"/>
      <c r="V88" s="8">
        <f t="shared" si="21"/>
        <v>0</v>
      </c>
      <c r="W88" s="3"/>
      <c r="X88" s="7">
        <f t="shared" si="22"/>
        <v>57.119999999999891</v>
      </c>
      <c r="Y88" s="3"/>
      <c r="Z88" s="8">
        <f t="shared" si="23"/>
        <v>9.5199999999999816E-3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SUM(OSRRefD22_20x_0)</f>
        <v>0</v>
      </c>
      <c r="E89" s="2"/>
      <c r="F89" s="6">
        <f t="shared" si="16"/>
        <v>0</v>
      </c>
      <c r="G89" s="2"/>
      <c r="H89" s="2">
        <f>SUM(OSRRefH22_20x_0)</f>
        <v>0</v>
      </c>
      <c r="I89" s="2"/>
      <c r="J89" s="6">
        <f t="shared" si="17"/>
        <v>0</v>
      </c>
      <c r="K89" s="2"/>
      <c r="L89" s="2">
        <f t="shared" si="18"/>
        <v>0</v>
      </c>
      <c r="M89" s="2"/>
      <c r="N89" s="6">
        <f t="shared" si="19"/>
        <v>0</v>
      </c>
      <c r="O89" s="14"/>
      <c r="P89" s="2">
        <f>SUM(OSRRefP22_20x_0)</f>
        <v>794</v>
      </c>
      <c r="Q89" s="2"/>
      <c r="R89" s="6">
        <f t="shared" si="20"/>
        <v>0</v>
      </c>
      <c r="S89" s="2"/>
      <c r="T89" s="2">
        <f>SUM(OSRRefT22_20x_0)</f>
        <v>2000</v>
      </c>
      <c r="U89" s="2"/>
      <c r="V89" s="6">
        <f t="shared" si="21"/>
        <v>0</v>
      </c>
      <c r="W89" s="2"/>
      <c r="X89" s="2">
        <f t="shared" si="22"/>
        <v>-1206</v>
      </c>
      <c r="Y89" s="2"/>
      <c r="Z89" s="6">
        <f t="shared" si="23"/>
        <v>-0.60299999999999998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/>
      <c r="E90" s="3"/>
      <c r="F90" s="8">
        <f t="shared" si="16"/>
        <v>0</v>
      </c>
      <c r="G90" s="3"/>
      <c r="H90" s="7"/>
      <c r="I90" s="3"/>
      <c r="J90" s="8">
        <f t="shared" si="17"/>
        <v>0</v>
      </c>
      <c r="K90" s="3"/>
      <c r="L90" s="7">
        <f t="shared" si="18"/>
        <v>0</v>
      </c>
      <c r="M90" s="3"/>
      <c r="N90" s="8">
        <f t="shared" si="19"/>
        <v>0</v>
      </c>
      <c r="O90" s="12"/>
      <c r="P90" s="7">
        <v>794</v>
      </c>
      <c r="Q90" s="3"/>
      <c r="R90" s="8">
        <f t="shared" si="20"/>
        <v>0</v>
      </c>
      <c r="S90" s="3"/>
      <c r="T90" s="7">
        <v>2000</v>
      </c>
      <c r="U90" s="3"/>
      <c r="V90" s="8">
        <f t="shared" si="21"/>
        <v>0</v>
      </c>
      <c r="W90" s="3"/>
      <c r="X90" s="7">
        <f t="shared" si="22"/>
        <v>-1206</v>
      </c>
      <c r="Y90" s="3"/>
      <c r="Z90" s="8">
        <f t="shared" si="23"/>
        <v>-0.60299999999999998</v>
      </c>
    </row>
    <row r="91" spans="1:26" s="69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SUM(OSRRefD22_21x_0)</f>
        <v>149.41</v>
      </c>
      <c r="E91" s="2"/>
      <c r="F91" s="6">
        <f t="shared" si="16"/>
        <v>0</v>
      </c>
      <c r="G91" s="2"/>
      <c r="H91" s="2">
        <f>SUM(OSRRefH22_21x_0)</f>
        <v>125</v>
      </c>
      <c r="I91" s="2"/>
      <c r="J91" s="6">
        <f t="shared" si="17"/>
        <v>0</v>
      </c>
      <c r="K91" s="2"/>
      <c r="L91" s="2">
        <f t="shared" si="18"/>
        <v>24.409999999999997</v>
      </c>
      <c r="M91" s="2"/>
      <c r="N91" s="6">
        <f t="shared" si="19"/>
        <v>0.19527999999999998</v>
      </c>
      <c r="O91" s="14"/>
      <c r="P91" s="2">
        <f>SUM(OSRRefP22_21x_0)</f>
        <v>881.5</v>
      </c>
      <c r="Q91" s="2"/>
      <c r="R91" s="6">
        <f t="shared" si="20"/>
        <v>0</v>
      </c>
      <c r="S91" s="2"/>
      <c r="T91" s="2">
        <f>SUM(OSRRefT22_21x_0)</f>
        <v>1250</v>
      </c>
      <c r="U91" s="2"/>
      <c r="V91" s="6">
        <f t="shared" si="21"/>
        <v>0</v>
      </c>
      <c r="W91" s="2"/>
      <c r="X91" s="2">
        <f t="shared" si="22"/>
        <v>-368.5</v>
      </c>
      <c r="Y91" s="2"/>
      <c r="Z91" s="6">
        <f t="shared" si="23"/>
        <v>-0.29480000000000001</v>
      </c>
    </row>
    <row r="92" spans="1:26" s="70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7"/>
      <c r="E92" s="3"/>
      <c r="F92" s="8">
        <f t="shared" si="16"/>
        <v>0</v>
      </c>
      <c r="G92" s="3"/>
      <c r="H92" s="7">
        <v>125</v>
      </c>
      <c r="I92" s="3"/>
      <c r="J92" s="8">
        <f t="shared" si="17"/>
        <v>0</v>
      </c>
      <c r="K92" s="3"/>
      <c r="L92" s="7">
        <f t="shared" si="18"/>
        <v>-125</v>
      </c>
      <c r="M92" s="3"/>
      <c r="N92" s="8">
        <f t="shared" si="19"/>
        <v>-1</v>
      </c>
      <c r="O92" s="12"/>
      <c r="P92" s="7">
        <v>495</v>
      </c>
      <c r="Q92" s="3"/>
      <c r="R92" s="8">
        <f t="shared" si="20"/>
        <v>0</v>
      </c>
      <c r="S92" s="3"/>
      <c r="T92" s="7">
        <v>1250</v>
      </c>
      <c r="U92" s="3"/>
      <c r="V92" s="8">
        <f t="shared" si="21"/>
        <v>0</v>
      </c>
      <c r="W92" s="3"/>
      <c r="X92" s="7">
        <f t="shared" si="22"/>
        <v>-755</v>
      </c>
      <c r="Y92" s="3"/>
      <c r="Z92" s="8">
        <f t="shared" si="23"/>
        <v>-0.60399999999999998</v>
      </c>
    </row>
    <row r="93" spans="1:26" s="70" customFormat="1" ht="15" hidden="1" customHeight="1" outlineLevel="2" x14ac:dyDescent="0.3">
      <c r="A93" s="26"/>
      <c r="B93" s="12" t="str">
        <f>CONCATENATE("          ","6298"," - ","VEHICLE MILEAGE")</f>
        <v xml:space="preserve">          6298 - VEHICLE MILEAGE</v>
      </c>
      <c r="C93" s="12"/>
      <c r="D93" s="7">
        <v>149.41</v>
      </c>
      <c r="E93" s="3"/>
      <c r="F93" s="8">
        <f t="shared" si="16"/>
        <v>0</v>
      </c>
      <c r="G93" s="3"/>
      <c r="H93" s="7"/>
      <c r="I93" s="3"/>
      <c r="J93" s="8">
        <f t="shared" si="17"/>
        <v>0</v>
      </c>
      <c r="K93" s="3"/>
      <c r="L93" s="7">
        <f t="shared" si="18"/>
        <v>149.41</v>
      </c>
      <c r="M93" s="3"/>
      <c r="N93" s="8">
        <f t="shared" si="19"/>
        <v>0</v>
      </c>
      <c r="O93" s="12"/>
      <c r="P93" s="7">
        <v>386.5</v>
      </c>
      <c r="Q93" s="3"/>
      <c r="R93" s="8">
        <f t="shared" si="20"/>
        <v>0</v>
      </c>
      <c r="S93" s="3"/>
      <c r="T93" s="7"/>
      <c r="U93" s="3"/>
      <c r="V93" s="8">
        <f t="shared" si="21"/>
        <v>0</v>
      </c>
      <c r="W93" s="3"/>
      <c r="X93" s="7">
        <f t="shared" si="22"/>
        <v>386.5</v>
      </c>
      <c r="Y93" s="3"/>
      <c r="Z93" s="8">
        <f t="shared" si="23"/>
        <v>0</v>
      </c>
    </row>
    <row r="94" spans="1:26" s="69" customFormat="1" ht="15" customHeight="1" outlineLevel="1" collapsed="1" x14ac:dyDescent="0.3">
      <c r="A94" s="25"/>
      <c r="B94" s="14" t="str">
        <f>CONCATENATE("     ","Utilities                                         ")</f>
        <v xml:space="preserve">     Utilities                                         </v>
      </c>
      <c r="C94" s="14"/>
      <c r="D94" s="2">
        <f>SUM(OSRRefD22_22x_0)</f>
        <v>6000</v>
      </c>
      <c r="E94" s="2"/>
      <c r="F94" s="6">
        <f t="shared" si="16"/>
        <v>0</v>
      </c>
      <c r="G94" s="2"/>
      <c r="H94" s="2">
        <f>SUM(OSRRefH22_22x_0)</f>
        <v>6000</v>
      </c>
      <c r="I94" s="2"/>
      <c r="J94" s="6">
        <f t="shared" si="17"/>
        <v>0</v>
      </c>
      <c r="K94" s="2"/>
      <c r="L94" s="2">
        <f t="shared" si="18"/>
        <v>0</v>
      </c>
      <c r="M94" s="2"/>
      <c r="N94" s="6">
        <f t="shared" si="19"/>
        <v>0</v>
      </c>
      <c r="O94" s="14"/>
      <c r="P94" s="2">
        <f>SUM(OSRRefP22_22x_0)</f>
        <v>54000</v>
      </c>
      <c r="Q94" s="2"/>
      <c r="R94" s="6">
        <f t="shared" si="20"/>
        <v>0</v>
      </c>
      <c r="S94" s="2"/>
      <c r="T94" s="2">
        <f>SUM(OSRRefT22_22x_0)</f>
        <v>60000</v>
      </c>
      <c r="U94" s="2"/>
      <c r="V94" s="6">
        <f t="shared" si="21"/>
        <v>0</v>
      </c>
      <c r="W94" s="2"/>
      <c r="X94" s="2">
        <f t="shared" si="22"/>
        <v>-6000</v>
      </c>
      <c r="Y94" s="2"/>
      <c r="Z94" s="6">
        <f t="shared" si="23"/>
        <v>-0.1</v>
      </c>
    </row>
    <row r="95" spans="1:26" s="70" customFormat="1" ht="15" hidden="1" customHeight="1" outlineLevel="2" x14ac:dyDescent="0.3">
      <c r="A95" s="26"/>
      <c r="B95" s="12" t="str">
        <f>CONCATENATE("          ","6274"," - ","UTILITIES")</f>
        <v xml:space="preserve">          6274 - UTILITIES</v>
      </c>
      <c r="C95" s="12"/>
      <c r="D95" s="7">
        <v>6000</v>
      </c>
      <c r="E95" s="3"/>
      <c r="F95" s="8">
        <f t="shared" si="16"/>
        <v>0</v>
      </c>
      <c r="G95" s="3"/>
      <c r="H95" s="7">
        <v>6000</v>
      </c>
      <c r="I95" s="3"/>
      <c r="J95" s="8">
        <f t="shared" si="17"/>
        <v>0</v>
      </c>
      <c r="K95" s="3"/>
      <c r="L95" s="7">
        <f t="shared" si="18"/>
        <v>0</v>
      </c>
      <c r="M95" s="3"/>
      <c r="N95" s="8">
        <f t="shared" si="19"/>
        <v>0</v>
      </c>
      <c r="O95" s="12"/>
      <c r="P95" s="7">
        <v>54000</v>
      </c>
      <c r="Q95" s="3"/>
      <c r="R95" s="8">
        <f t="shared" si="20"/>
        <v>0</v>
      </c>
      <c r="S95" s="3"/>
      <c r="T95" s="7">
        <v>60000</v>
      </c>
      <c r="U95" s="3"/>
      <c r="V95" s="8">
        <f t="shared" si="21"/>
        <v>0</v>
      </c>
      <c r="W95" s="3"/>
      <c r="X95" s="7">
        <f t="shared" si="22"/>
        <v>-6000</v>
      </c>
      <c r="Y95" s="3"/>
      <c r="Z95" s="8">
        <f t="shared" si="23"/>
        <v>-0.1</v>
      </c>
    </row>
    <row r="96" spans="1:26" s="65" customFormat="1" ht="15" customHeight="1" x14ac:dyDescent="0.3">
      <c r="A96" s="35"/>
      <c r="B96" s="35"/>
      <c r="C96" s="35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35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63" customFormat="1" ht="15" customHeight="1" collapsed="1" x14ac:dyDescent="0.3">
      <c r="A97" s="11"/>
      <c r="B97" s="28" t="s">
        <v>291</v>
      </c>
      <c r="C97" s="11"/>
      <c r="D97" s="5">
        <f>SUM(OSRRefD25x_0)</f>
        <v>11255.17</v>
      </c>
      <c r="E97" s="5"/>
      <c r="F97" s="13">
        <f>IF(D$12=0,0,D97/D$12)</f>
        <v>0</v>
      </c>
      <c r="G97" s="5"/>
      <c r="H97" s="5">
        <f>SUM(OSRRefH25x_0)</f>
        <v>3300</v>
      </c>
      <c r="I97" s="5"/>
      <c r="J97" s="13">
        <f>IF(H$12=0,0,H97/H$12)</f>
        <v>0</v>
      </c>
      <c r="K97" s="5"/>
      <c r="L97" s="5">
        <f>+D97-H97</f>
        <v>7955.17</v>
      </c>
      <c r="M97" s="5"/>
      <c r="N97" s="13">
        <f>IF(H97=0,0,L97/H97)</f>
        <v>2.4106575757575759</v>
      </c>
      <c r="O97" s="11"/>
      <c r="P97" s="5">
        <f>SUM(OSRRefP25x_0)</f>
        <v>222920.26</v>
      </c>
      <c r="Q97" s="5"/>
      <c r="R97" s="13">
        <f>IF(P$12=0,0,P97/P$12)</f>
        <v>0</v>
      </c>
      <c r="S97" s="5"/>
      <c r="T97" s="5">
        <f>SUM(OSRRefT25x_0)</f>
        <v>149400</v>
      </c>
      <c r="U97" s="5"/>
      <c r="V97" s="13">
        <f>IF(T$12=0,0,T97/T$12)</f>
        <v>0</v>
      </c>
      <c r="W97" s="5"/>
      <c r="X97" s="5">
        <f>+P97-T97</f>
        <v>73520.260000000009</v>
      </c>
      <c r="Y97" s="5"/>
      <c r="Z97" s="13">
        <f>IF(T97=0,0,X97/T97)</f>
        <v>0.49210348058902281</v>
      </c>
    </row>
    <row r="98" spans="1:26" s="70" customFormat="1" ht="15" hidden="1" customHeight="1" outlineLevel="1" x14ac:dyDescent="0.3">
      <c r="A98" s="42"/>
      <c r="B98" s="12" t="str">
        <f>CONCATENATE("          ","9150"," - ","MISC. INCOME")</f>
        <v xml:space="preserve">          9150 - MISC. INCOME</v>
      </c>
      <c r="C98" s="12"/>
      <c r="D98" s="3">
        <f>--11255.17</f>
        <v>11255.17</v>
      </c>
      <c r="E98" s="3"/>
      <c r="F98" s="20">
        <f>IF(D$12=0,0,D98/D$12)</f>
        <v>0</v>
      </c>
      <c r="G98" s="3"/>
      <c r="H98" s="3">
        <v>3300</v>
      </c>
      <c r="I98" s="3"/>
      <c r="J98" s="20">
        <f>IF(H$12=0,0,H98/H$12)</f>
        <v>0</v>
      </c>
      <c r="K98" s="3"/>
      <c r="L98" s="3">
        <f>+D98-H98</f>
        <v>7955.17</v>
      </c>
      <c r="M98" s="3"/>
      <c r="N98" s="20">
        <f>IF(H98=0,0,L98/H98)</f>
        <v>2.4106575757575759</v>
      </c>
      <c r="O98" s="12"/>
      <c r="P98" s="3">
        <f>--222920.26</f>
        <v>222920.26</v>
      </c>
      <c r="Q98" s="3"/>
      <c r="R98" s="20">
        <f>IF(P$12=0,0,P98/P$12)</f>
        <v>0</v>
      </c>
      <c r="S98" s="3"/>
      <c r="T98" s="3">
        <v>20400</v>
      </c>
      <c r="U98" s="3"/>
      <c r="V98" s="20">
        <f>IF(T$12=0,0,T98/T$12)</f>
        <v>0</v>
      </c>
      <c r="W98" s="3"/>
      <c r="X98" s="3">
        <f>+P98-T98</f>
        <v>202520.26</v>
      </c>
      <c r="Y98" s="3"/>
      <c r="Z98" s="20">
        <f>IF(T98=0,0,X98/T98)</f>
        <v>9.9274637254901972</v>
      </c>
    </row>
    <row r="99" spans="1:26" s="70" customFormat="1" ht="15" hidden="1" customHeight="1" outlineLevel="1" x14ac:dyDescent="0.3">
      <c r="A99" s="42"/>
      <c r="B99" s="12" t="str">
        <f>CONCATENATE("          ","9151"," - ","MISC. INCOME")</f>
        <v xml:space="preserve">          9151 - MISC. INCOME</v>
      </c>
      <c r="C99" s="12"/>
      <c r="D99" s="3">
        <f>0</f>
        <v>0</v>
      </c>
      <c r="E99" s="3"/>
      <c r="F99" s="20">
        <f>IF(D$12=0,0,D99/D$12)</f>
        <v>0</v>
      </c>
      <c r="G99" s="3"/>
      <c r="H99" s="3"/>
      <c r="I99" s="3"/>
      <c r="J99" s="20">
        <f>IF(H$12=0,0,H99/H$12)</f>
        <v>0</v>
      </c>
      <c r="K99" s="3"/>
      <c r="L99" s="3">
        <f>+D99-H99</f>
        <v>0</v>
      </c>
      <c r="M99" s="3"/>
      <c r="N99" s="20">
        <f>IF(H99=0,0,L99/H99)</f>
        <v>0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v>129000</v>
      </c>
      <c r="U99" s="3"/>
      <c r="V99" s="20">
        <f>IF(T$12=0,0,T99/T$12)</f>
        <v>0</v>
      </c>
      <c r="W99" s="3"/>
      <c r="X99" s="3">
        <f>+P99-T99</f>
        <v>-129000</v>
      </c>
      <c r="Y99" s="3"/>
      <c r="Z99" s="20">
        <f>IF(T99=0,0,X99/T99)</f>
        <v>-1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292</v>
      </c>
      <c r="C101" s="27"/>
      <c r="D101" s="21">
        <f>+D17-D19+D97</f>
        <v>-115323.16999999998</v>
      </c>
      <c r="E101" s="15"/>
      <c r="F101" s="23">
        <f>IF(D$12=0,0,D101/D$12)</f>
        <v>0</v>
      </c>
      <c r="G101" s="15"/>
      <c r="H101" s="21">
        <f>+H17-H19+H97</f>
        <v>-94198.31055213463</v>
      </c>
      <c r="I101" s="15"/>
      <c r="J101" s="23">
        <f>IF(H$12=0,0,H101/H$12)</f>
        <v>0</v>
      </c>
      <c r="K101" s="17"/>
      <c r="L101" s="21">
        <f>+D101-H101</f>
        <v>-21124.859447865354</v>
      </c>
      <c r="M101" s="17"/>
      <c r="N101" s="23">
        <f>IF(H101=0,0,L101/H101)</f>
        <v>0.22425943017495703</v>
      </c>
      <c r="O101" s="28"/>
      <c r="P101" s="21">
        <f>+P17-P19+P97</f>
        <v>-1196603.2500000002</v>
      </c>
      <c r="Q101" s="15"/>
      <c r="R101" s="23">
        <f>IF(P$12=0,0,P101/P$12)</f>
        <v>0</v>
      </c>
      <c r="S101" s="15"/>
      <c r="T101" s="21">
        <f>+T17-T19+T97</f>
        <v>-1168487.6597552844</v>
      </c>
      <c r="U101" s="15"/>
      <c r="V101" s="23">
        <f>IF(T$12=0,0,T101/T$12)</f>
        <v>0</v>
      </c>
      <c r="W101" s="17"/>
      <c r="X101" s="21">
        <f>+P101-T101</f>
        <v>-28115.590244715801</v>
      </c>
      <c r="Y101" s="17"/>
      <c r="Z101" s="23">
        <f>IF(T101=0,0,X101/T101)</f>
        <v>2.4061520898392738E-2</v>
      </c>
    </row>
    <row r="102" spans="1:26" ht="15" customHeight="1" x14ac:dyDescent="0.3">
      <c r="A102" s="10"/>
      <c r="B102" s="11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3" customFormat="1" ht="15" customHeight="1" x14ac:dyDescent="0.3">
      <c r="A103" s="49"/>
      <c r="B103" s="11" t="s">
        <v>293</v>
      </c>
      <c r="C103" s="11"/>
      <c r="D103" s="5"/>
      <c r="E103" s="5"/>
      <c r="F103" s="13">
        <f>IF(D$12=0,0,D103/D$12)</f>
        <v>0</v>
      </c>
      <c r="G103" s="5"/>
      <c r="H103" s="5"/>
      <c r="I103" s="5"/>
      <c r="J103" s="13">
        <f>IF(H$12=0,0,H103/H$12)</f>
        <v>0</v>
      </c>
      <c r="K103" s="5"/>
      <c r="L103" s="5">
        <f>+D103-H103</f>
        <v>0</v>
      </c>
      <c r="M103" s="5"/>
      <c r="N103" s="13">
        <f>IF(H103=0,0,L103/H103)</f>
        <v>0</v>
      </c>
      <c r="O103" s="11"/>
      <c r="P103" s="5"/>
      <c r="Q103" s="5"/>
      <c r="R103" s="13">
        <f>IF(P$12=0,0,P103/P$12)</f>
        <v>0</v>
      </c>
      <c r="S103" s="5"/>
      <c r="T103" s="5"/>
      <c r="U103" s="5"/>
      <c r="V103" s="13">
        <f>IF(T$12=0,0,T103/T$12)</f>
        <v>0</v>
      </c>
      <c r="W103" s="5"/>
      <c r="X103" s="5">
        <f>+P103-T103</f>
        <v>0</v>
      </c>
      <c r="Y103" s="5"/>
      <c r="Z103" s="13">
        <f>IF(T103=0,0,X103/T103)</f>
        <v>0</v>
      </c>
    </row>
    <row r="104" spans="1:26" ht="15" customHeight="1" x14ac:dyDescent="0.3">
      <c r="A104" s="10"/>
      <c r="B104" s="11"/>
      <c r="C104" s="11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O104" s="11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3" customFormat="1" ht="15" customHeight="1" x14ac:dyDescent="0.3">
      <c r="A105" s="11"/>
      <c r="B105" s="27" t="s">
        <v>294</v>
      </c>
      <c r="C105" s="27"/>
      <c r="D105" s="29">
        <f>+D101-D103</f>
        <v>-115323.16999999998</v>
      </c>
      <c r="E105" s="15"/>
      <c r="F105" s="30">
        <f>IF(D$12=0,0,D105/D$12)</f>
        <v>0</v>
      </c>
      <c r="G105" s="15"/>
      <c r="H105" s="29">
        <f>+H101-H103</f>
        <v>-94198.31055213463</v>
      </c>
      <c r="I105" s="15"/>
      <c r="J105" s="30">
        <f>IF(H$12=0,0,H105/H$12)</f>
        <v>0</v>
      </c>
      <c r="K105" s="17"/>
      <c r="L105" s="29">
        <f>D105-H105</f>
        <v>-21124.859447865354</v>
      </c>
      <c r="M105" s="17"/>
      <c r="N105" s="30">
        <f>IF(H105=0,0,L105/H105)</f>
        <v>0.22425943017495703</v>
      </c>
      <c r="O105" s="28"/>
      <c r="P105" s="29">
        <f>+P101-P103</f>
        <v>-1196603.2500000002</v>
      </c>
      <c r="Q105" s="15"/>
      <c r="R105" s="30">
        <f>IF(P$12=0,0,P105/P$12)</f>
        <v>0</v>
      </c>
      <c r="S105" s="15"/>
      <c r="T105" s="29">
        <f>+T101-T103</f>
        <v>-1168487.6597552844</v>
      </c>
      <c r="U105" s="15"/>
      <c r="V105" s="30">
        <f>IF(T$12=0,0,T105/T$12)</f>
        <v>0</v>
      </c>
      <c r="W105" s="17"/>
      <c r="X105" s="29">
        <f>P105-T105</f>
        <v>-28115.590244715801</v>
      </c>
      <c r="Y105" s="17"/>
      <c r="Z105" s="30">
        <f>IF(T105=0,0,X105/T105)</f>
        <v>2.4061520898392738E-2</v>
      </c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ht="15" customHeight="1" x14ac:dyDescent="0.3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3" customFormat="1" ht="15" customHeight="1" x14ac:dyDescent="0.3">
      <c r="A108" s="11"/>
      <c r="B108" s="27" t="s">
        <v>297</v>
      </c>
      <c r="C108" s="27"/>
      <c r="D108" s="32">
        <f>SUM(D105:D107)</f>
        <v>-115323.16999999998</v>
      </c>
      <c r="E108" s="15"/>
      <c r="F108" s="34">
        <f>IF(D$12=0,0,D108/D$12)</f>
        <v>0</v>
      </c>
      <c r="G108" s="15"/>
      <c r="H108" s="32">
        <f>SUM(H105:H107)</f>
        <v>-94198.31055213463</v>
      </c>
      <c r="I108" s="15"/>
      <c r="J108" s="34">
        <f>IF(H$12=0,0,H108/H$12)</f>
        <v>0</v>
      </c>
      <c r="K108" s="17"/>
      <c r="L108" s="32">
        <f>+D108-H108</f>
        <v>-21124.859447865354</v>
      </c>
      <c r="M108" s="17"/>
      <c r="N108" s="34">
        <f>IF(H108=0,0,L108/H108)</f>
        <v>0.22425943017495703</v>
      </c>
      <c r="O108" s="28"/>
      <c r="P108" s="32">
        <f>SUM(P105:P107)</f>
        <v>-1196603.2500000002</v>
      </c>
      <c r="Q108" s="15"/>
      <c r="R108" s="34">
        <f>IF(P$12=0,0,P108/P$12)</f>
        <v>0</v>
      </c>
      <c r="S108" s="15"/>
      <c r="T108" s="32">
        <f>SUM(T105:T107)</f>
        <v>-1168487.6597552844</v>
      </c>
      <c r="U108" s="15"/>
      <c r="V108" s="34">
        <f>IF(T$12=0,0,T108/T$12)</f>
        <v>0</v>
      </c>
      <c r="W108" s="17"/>
      <c r="X108" s="32">
        <f>+P108-T108</f>
        <v>-28115.590244715801</v>
      </c>
      <c r="Y108" s="17"/>
      <c r="Z108" s="34">
        <f>IF(T108=0,0,X108/T108)</f>
        <v>2.4061520898392738E-2</v>
      </c>
    </row>
    <row r="109" spans="1:26" ht="15" customHeight="1" x14ac:dyDescent="0.3">
      <c r="A109" s="10"/>
      <c r="C109" s="10"/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  <row r="110" spans="1:26" ht="15" customHeight="1" x14ac:dyDescent="0.3">
      <c r="A110" s="10"/>
      <c r="B110" s="56">
        <v>44694.888552430559</v>
      </c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A111" s="10"/>
      <c r="B111" s="50" t="s">
        <v>298</v>
      </c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  <row r="112" spans="1:26" ht="15" customHeight="1" x14ac:dyDescent="0.3">
      <c r="A112" s="10"/>
      <c r="B112" s="51"/>
      <c r="D112" s="19"/>
      <c r="E112" s="19"/>
      <c r="G112" s="19"/>
      <c r="H112" s="19"/>
      <c r="I112" s="19"/>
      <c r="J112" s="40"/>
      <c r="K112" s="19"/>
      <c r="L112" s="19"/>
      <c r="M112" s="19"/>
      <c r="P112" s="19"/>
      <c r="Q112" s="19"/>
      <c r="R112" s="40"/>
      <c r="S112" s="19"/>
      <c r="T112" s="19"/>
      <c r="U112" s="19"/>
      <c r="V112" s="40"/>
      <c r="W112" s="19"/>
      <c r="X112" s="19"/>
    </row>
    <row r="113" spans="4:24" ht="15" customHeight="1" x14ac:dyDescent="0.3">
      <c r="D113" s="19"/>
      <c r="E113" s="19"/>
      <c r="G113" s="19"/>
      <c r="H113" s="19"/>
      <c r="I113" s="19"/>
      <c r="J113" s="40"/>
      <c r="K113" s="19"/>
      <c r="L113" s="19"/>
      <c r="M113" s="19"/>
      <c r="P113" s="19"/>
      <c r="Q113" s="19"/>
      <c r="R113" s="40"/>
      <c r="S113" s="19"/>
      <c r="T113" s="19"/>
      <c r="U113" s="19"/>
      <c r="V113" s="40"/>
      <c r="W113" s="19"/>
      <c r="X11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3316-8A69-D908-61A4-9F4B80EA2EF7}">
  <sheetPr>
    <tabColor rgb="FFFFFF0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306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50855.24</v>
      </c>
      <c r="E12" s="5"/>
      <c r="F12" s="13"/>
      <c r="G12" s="5"/>
      <c r="H12" s="5">
        <f>SUM(OSRRefH13x_0)</f>
        <v>18864</v>
      </c>
      <c r="I12" s="5"/>
      <c r="J12" s="13"/>
      <c r="K12" s="5"/>
      <c r="L12" s="5">
        <f t="shared" ref="L12:L17" si="0">+D12-H12</f>
        <v>31991.239999999998</v>
      </c>
      <c r="M12" s="5"/>
      <c r="N12" s="13">
        <f t="shared" ref="N12:N17" si="1">IF(H12=0,0,L12/H12)</f>
        <v>1.6958884648006785</v>
      </c>
      <c r="O12" s="11"/>
      <c r="P12" s="5">
        <f>SUM(OSRRefP13x_0)</f>
        <v>2202220.39</v>
      </c>
      <c r="Q12" s="5"/>
      <c r="R12" s="13"/>
      <c r="S12" s="5"/>
      <c r="T12" s="5">
        <f>SUM(OSRRefT13x_0)</f>
        <v>4693582</v>
      </c>
      <c r="U12" s="5"/>
      <c r="V12" s="13"/>
      <c r="W12" s="5"/>
      <c r="X12" s="5">
        <f t="shared" ref="X12:X17" si="2">+P12-T12</f>
        <v>-2491361.61</v>
      </c>
      <c r="Y12" s="5"/>
      <c r="Z12" s="13">
        <f t="shared" ref="Z12:Z17" si="3">IF(T12=0,0,X12/T12)</f>
        <v>-0.53080176504852794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--38819.11</f>
        <v>38819.11</v>
      </c>
      <c r="E13" s="3"/>
      <c r="F13" s="20"/>
      <c r="G13" s="3"/>
      <c r="H13" s="3">
        <v>18864</v>
      </c>
      <c r="I13" s="3"/>
      <c r="J13" s="20"/>
      <c r="K13" s="3"/>
      <c r="L13" s="3">
        <f t="shared" si="0"/>
        <v>19955.11</v>
      </c>
      <c r="M13" s="3"/>
      <c r="N13" s="20">
        <f t="shared" si="1"/>
        <v>1.057840860899067</v>
      </c>
      <c r="O13" s="12"/>
      <c r="P13" s="3">
        <f>--1665531.37</f>
        <v>1665531.37</v>
      </c>
      <c r="Q13" s="3"/>
      <c r="R13" s="20"/>
      <c r="S13" s="3"/>
      <c r="T13" s="3">
        <v>4693582</v>
      </c>
      <c r="U13" s="3"/>
      <c r="V13" s="20"/>
      <c r="W13" s="3"/>
      <c r="X13" s="3">
        <f t="shared" si="2"/>
        <v>-3028050.63</v>
      </c>
      <c r="Y13" s="3"/>
      <c r="Z13" s="20">
        <f t="shared" si="3"/>
        <v>-0.64514706039012415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--18061.35</f>
        <v>18061.349999999999</v>
      </c>
      <c r="E14" s="3"/>
      <c r="F14" s="20"/>
      <c r="G14" s="3"/>
      <c r="H14" s="3"/>
      <c r="I14" s="3"/>
      <c r="J14" s="20"/>
      <c r="K14" s="3"/>
      <c r="L14" s="3">
        <f t="shared" si="0"/>
        <v>18061.349999999999</v>
      </c>
      <c r="M14" s="3"/>
      <c r="N14" s="20">
        <f t="shared" si="1"/>
        <v>0</v>
      </c>
      <c r="O14" s="12"/>
      <c r="P14" s="3">
        <f>--635004.16</f>
        <v>635004.16000000003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635004.16000000003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--2760.42</f>
        <v>2760.42</v>
      </c>
      <c r="E15" s="3"/>
      <c r="F15" s="20"/>
      <c r="G15" s="3"/>
      <c r="H15" s="3"/>
      <c r="I15" s="3"/>
      <c r="J15" s="20"/>
      <c r="K15" s="3"/>
      <c r="L15" s="3">
        <f t="shared" si="0"/>
        <v>2760.42</v>
      </c>
      <c r="M15" s="3"/>
      <c r="N15" s="20">
        <f t="shared" si="1"/>
        <v>0</v>
      </c>
      <c r="O15" s="12"/>
      <c r="P15" s="3">
        <f>-52751.87</f>
        <v>-52751.87</v>
      </c>
      <c r="Q15" s="3"/>
      <c r="R15" s="20"/>
      <c r="S15" s="3"/>
      <c r="T15" s="3"/>
      <c r="U15" s="3"/>
      <c r="V15" s="20"/>
      <c r="W15" s="3"/>
      <c r="X15" s="3">
        <f t="shared" si="2"/>
        <v>-52751.87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-8718.04</f>
        <v>-8718.0400000000009</v>
      </c>
      <c r="E16" s="3"/>
      <c r="F16" s="20"/>
      <c r="G16" s="3"/>
      <c r="H16" s="3"/>
      <c r="I16" s="3"/>
      <c r="J16" s="20"/>
      <c r="K16" s="3"/>
      <c r="L16" s="3">
        <f t="shared" si="0"/>
        <v>-8718.0400000000009</v>
      </c>
      <c r="M16" s="3"/>
      <c r="N16" s="20">
        <f t="shared" si="1"/>
        <v>0</v>
      </c>
      <c r="O16" s="12"/>
      <c r="P16" s="3">
        <f>-38066.71</f>
        <v>-38066.71</v>
      </c>
      <c r="Q16" s="3"/>
      <c r="R16" s="20"/>
      <c r="S16" s="3"/>
      <c r="T16" s="3"/>
      <c r="U16" s="3"/>
      <c r="V16" s="20"/>
      <c r="W16" s="3"/>
      <c r="X16" s="3">
        <f t="shared" si="2"/>
        <v>-38066.71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-67.6</f>
        <v>-67.599999999999994</v>
      </c>
      <c r="E17" s="3"/>
      <c r="F17" s="20"/>
      <c r="G17" s="3"/>
      <c r="H17" s="3"/>
      <c r="I17" s="3"/>
      <c r="J17" s="20"/>
      <c r="K17" s="3"/>
      <c r="L17" s="3">
        <f t="shared" si="0"/>
        <v>-67.599999999999994</v>
      </c>
      <c r="M17" s="3"/>
      <c r="N17" s="20">
        <f t="shared" si="1"/>
        <v>0</v>
      </c>
      <c r="O17" s="12"/>
      <c r="P17" s="3">
        <f>-7496.56</f>
        <v>-7496.56</v>
      </c>
      <c r="Q17" s="3"/>
      <c r="R17" s="20"/>
      <c r="S17" s="3"/>
      <c r="T17" s="3"/>
      <c r="U17" s="3"/>
      <c r="V17" s="20"/>
      <c r="W17" s="3"/>
      <c r="X17" s="3">
        <f t="shared" si="2"/>
        <v>-7496.56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26384.179999999993</v>
      </c>
      <c r="E19" s="5"/>
      <c r="F19" s="13">
        <f t="shared" ref="F19:F29" si="4">IF(D$12=0,0,D19/D$12)</f>
        <v>0.51880946781491921</v>
      </c>
      <c r="G19" s="5"/>
      <c r="H19" s="5">
        <f>SUM(OSRRefH16x_0)</f>
        <v>13633</v>
      </c>
      <c r="I19" s="5"/>
      <c r="J19" s="13">
        <f t="shared" ref="J19:J29" si="5">IF(H$12=0,0,H19/H$12)</f>
        <v>0.7226993214588634</v>
      </c>
      <c r="K19" s="5"/>
      <c r="L19" s="5">
        <f t="shared" ref="L19:L29" si="6">+D19-H19</f>
        <v>12751.179999999993</v>
      </c>
      <c r="M19" s="5"/>
      <c r="N19" s="13">
        <f t="shared" ref="N19:N29" si="7">IF(H19=0,0,L19/H19)</f>
        <v>0.93531724492041324</v>
      </c>
      <c r="O19" s="11"/>
      <c r="P19" s="5">
        <f>SUM(OSRRefP16x_0)</f>
        <v>1680783.1999999997</v>
      </c>
      <c r="Q19" s="5"/>
      <c r="R19" s="13">
        <f t="shared" ref="R19:R29" si="8">IF(P$12=0,0,P19/P$12)</f>
        <v>0.76322206788758307</v>
      </c>
      <c r="S19" s="5"/>
      <c r="T19" s="5">
        <f>SUM(OSRRefT16x_0)</f>
        <v>3394946</v>
      </c>
      <c r="U19" s="5"/>
      <c r="V19" s="13">
        <f t="shared" ref="V19:V29" si="9">IF(T$12=0,0,T19/T$12)</f>
        <v>0.72331664813781882</v>
      </c>
      <c r="W19" s="5"/>
      <c r="X19" s="5">
        <f t="shared" ref="X19:X29" si="10">+P19-T19</f>
        <v>-1714162.8000000003</v>
      </c>
      <c r="Y19" s="5"/>
      <c r="Z19" s="13">
        <f t="shared" ref="Z19:Z29" si="11">IF(T19=0,0,X19/T19)</f>
        <v>-0.50491607230277014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-186211.17</v>
      </c>
      <c r="E20" s="3"/>
      <c r="F20" s="20">
        <f t="shared" si="4"/>
        <v>-3.6615925910486316</v>
      </c>
      <c r="G20" s="3"/>
      <c r="H20" s="3">
        <v>13633</v>
      </c>
      <c r="I20" s="3"/>
      <c r="J20" s="20">
        <f t="shared" si="5"/>
        <v>0.7226993214588634</v>
      </c>
      <c r="K20" s="3"/>
      <c r="L20" s="3">
        <f t="shared" si="6"/>
        <v>-199844.17</v>
      </c>
      <c r="M20" s="3"/>
      <c r="N20" s="20">
        <f t="shared" si="7"/>
        <v>-14.658854984229444</v>
      </c>
      <c r="O20" s="12"/>
      <c r="P20" s="3">
        <v>1424313.55</v>
      </c>
      <c r="Q20" s="3"/>
      <c r="R20" s="20">
        <f t="shared" si="8"/>
        <v>0.64676249319442547</v>
      </c>
      <c r="S20" s="3"/>
      <c r="T20" s="3">
        <v>3394946</v>
      </c>
      <c r="U20" s="3"/>
      <c r="V20" s="20">
        <f t="shared" si="9"/>
        <v>0.72331664813781882</v>
      </c>
      <c r="W20" s="3"/>
      <c r="X20" s="3">
        <f t="shared" si="10"/>
        <v>-1970632.45</v>
      </c>
      <c r="Y20" s="3"/>
      <c r="Z20" s="20">
        <f t="shared" si="11"/>
        <v>-0.58046061704663343</v>
      </c>
    </row>
    <row r="21" spans="1:26" s="70" customFormat="1" ht="15" hidden="1" customHeight="1" outlineLevel="1" x14ac:dyDescent="0.3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","5200"," - ","PURCHASES OFFSET")</f>
        <v xml:space="preserve">          5200 - PURCHASES OFFSET</v>
      </c>
      <c r="C24" s="12"/>
      <c r="D24" s="3">
        <v>160822.91</v>
      </c>
      <c r="E24" s="3"/>
      <c r="F24" s="20">
        <f t="shared" si="4"/>
        <v>3.1623665525912377</v>
      </c>
      <c r="G24" s="3"/>
      <c r="H24" s="3"/>
      <c r="I24" s="3"/>
      <c r="J24" s="20">
        <f t="shared" si="5"/>
        <v>0</v>
      </c>
      <c r="K24" s="3"/>
      <c r="L24" s="3">
        <f t="shared" si="6"/>
        <v>160822.91</v>
      </c>
      <c r="M24" s="3"/>
      <c r="N24" s="20">
        <f t="shared" si="7"/>
        <v>0</v>
      </c>
      <c r="O24" s="12"/>
      <c r="P24" s="3">
        <v>-1201082.6100000001</v>
      </c>
      <c r="Q24" s="3"/>
      <c r="R24" s="20">
        <f t="shared" si="8"/>
        <v>-0.54539618988815197</v>
      </c>
      <c r="S24" s="3"/>
      <c r="T24" s="3"/>
      <c r="U24" s="3"/>
      <c r="V24" s="20">
        <f t="shared" si="9"/>
        <v>0</v>
      </c>
      <c r="W24" s="3"/>
      <c r="X24" s="3">
        <f t="shared" si="10"/>
        <v>-1201082.6100000001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","5300"," - ","COG$ OFFSET")</f>
        <v xml:space="preserve">          5300 - COG$ OFFSET</v>
      </c>
      <c r="C25" s="12"/>
      <c r="D25" s="3">
        <v>49207.61</v>
      </c>
      <c r="E25" s="3"/>
      <c r="F25" s="20">
        <f t="shared" si="4"/>
        <v>0.96760156868790714</v>
      </c>
      <c r="G25" s="3"/>
      <c r="H25" s="3"/>
      <c r="I25" s="3"/>
      <c r="J25" s="20">
        <f t="shared" si="5"/>
        <v>0</v>
      </c>
      <c r="K25" s="3"/>
      <c r="L25" s="3">
        <f t="shared" si="6"/>
        <v>49207.61</v>
      </c>
      <c r="M25" s="3"/>
      <c r="N25" s="20">
        <f t="shared" si="7"/>
        <v>0</v>
      </c>
      <c r="O25" s="12"/>
      <c r="P25" s="3">
        <v>1378493.64</v>
      </c>
      <c r="Q25" s="3"/>
      <c r="R25" s="20">
        <f t="shared" si="8"/>
        <v>0.62595626044494113</v>
      </c>
      <c r="S25" s="3"/>
      <c r="T25" s="3"/>
      <c r="U25" s="3"/>
      <c r="V25" s="20">
        <f t="shared" si="9"/>
        <v>0</v>
      </c>
      <c r="W25" s="3"/>
      <c r="X25" s="3">
        <f t="shared" si="10"/>
        <v>1378493.64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","5500"," - ","FREIGHT-IN")</f>
        <v xml:space="preserve">          5500 - FREIGHT-IN</v>
      </c>
      <c r="C26" s="12"/>
      <c r="D26" s="3">
        <v>2564.83</v>
      </c>
      <c r="E26" s="3"/>
      <c r="F26" s="20">
        <f t="shared" si="4"/>
        <v>5.0433937584406251E-2</v>
      </c>
      <c r="G26" s="3"/>
      <c r="H26" s="3"/>
      <c r="I26" s="3"/>
      <c r="J26" s="20">
        <f t="shared" si="5"/>
        <v>0</v>
      </c>
      <c r="K26" s="3"/>
      <c r="L26" s="3">
        <f t="shared" si="6"/>
        <v>2564.83</v>
      </c>
      <c r="M26" s="3"/>
      <c r="N26" s="20">
        <f t="shared" si="7"/>
        <v>0</v>
      </c>
      <c r="O26" s="12"/>
      <c r="P26" s="3">
        <v>79058.62</v>
      </c>
      <c r="Q26" s="3"/>
      <c r="R26" s="20">
        <f t="shared" si="8"/>
        <v>3.5899504136368471E-2</v>
      </c>
      <c r="S26" s="3"/>
      <c r="T26" s="3"/>
      <c r="U26" s="3"/>
      <c r="V26" s="20">
        <f t="shared" si="9"/>
        <v>0</v>
      </c>
      <c r="W26" s="3"/>
      <c r="X26" s="3">
        <f t="shared" si="10"/>
        <v>79058.62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24471.060000000005</v>
      </c>
      <c r="E31" s="15"/>
      <c r="F31" s="23">
        <f>IF(D$12=0,0,D31/D$12)</f>
        <v>0.48119053218508073</v>
      </c>
      <c r="G31" s="15"/>
      <c r="H31" s="21">
        <f>H12-H19</f>
        <v>5231</v>
      </c>
      <c r="I31" s="15"/>
      <c r="J31" s="23">
        <f>IF(H$12=0,0,H31/H$12)</f>
        <v>0.27730067854113655</v>
      </c>
      <c r="K31" s="17"/>
      <c r="L31" s="21">
        <f>+D31-H31</f>
        <v>19240.060000000005</v>
      </c>
      <c r="M31" s="17"/>
      <c r="N31" s="23">
        <f>IF(H31=0,0,L31/H31)</f>
        <v>3.6780844962722243</v>
      </c>
      <c r="O31" s="28"/>
      <c r="P31" s="21">
        <f>P12-P19</f>
        <v>521437.19000000041</v>
      </c>
      <c r="Q31" s="15"/>
      <c r="R31" s="23">
        <f>IF(P$12=0,0,P31/P$12)</f>
        <v>0.23677793211241696</v>
      </c>
      <c r="S31" s="15"/>
      <c r="T31" s="21">
        <f>T12-T19</f>
        <v>1298636</v>
      </c>
      <c r="U31" s="15"/>
      <c r="V31" s="23">
        <f>IF(T$12=0,0,T31/T$12)</f>
        <v>0.27668335186218118</v>
      </c>
      <c r="W31" s="17"/>
      <c r="X31" s="21">
        <f>+P31-T31</f>
        <v>-777198.80999999959</v>
      </c>
      <c r="Y31" s="17"/>
      <c r="Z31" s="23">
        <f>IF(T31=0,0,X31/T31)</f>
        <v>-0.5984731749312352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50638.14</v>
      </c>
      <c r="E33" s="22"/>
      <c r="F33" s="33">
        <f t="shared" ref="F33:F64" si="12">IF(D$12=0,0,D33/D$12)</f>
        <v>0.99573102004827829</v>
      </c>
      <c r="G33" s="22"/>
      <c r="H33" s="22" cm="1">
        <f t="array" ref="H33">SUM(OSRRefH22x_0)</f>
        <v>54338.975590737202</v>
      </c>
      <c r="I33" s="22"/>
      <c r="J33" s="33">
        <f t="shared" ref="J33:J64" si="13">IF(H$12=0,0,H33/H$12)</f>
        <v>2.8805648638007422</v>
      </c>
      <c r="K33" s="5"/>
      <c r="L33" s="22">
        <f t="shared" ref="L33:L64" si="14">+D33-H33</f>
        <v>-3700.8355907372024</v>
      </c>
      <c r="M33" s="5"/>
      <c r="N33" s="33">
        <f t="shared" ref="N33:N64" si="15">IF(H33=0,0,L33/H33)</f>
        <v>-6.8106465948321246E-2</v>
      </c>
      <c r="O33" s="11"/>
      <c r="P33" s="22" cm="1">
        <f t="array" ref="P33">SUM(OSRRefP22x_0)</f>
        <v>448482.06999999995</v>
      </c>
      <c r="Q33" s="22"/>
      <c r="R33" s="33">
        <f t="shared" ref="R33:R64" si="16">IF(P$12=0,0,P33/P$12)</f>
        <v>0.20364994894993227</v>
      </c>
      <c r="S33" s="22"/>
      <c r="T33" s="22" cm="1">
        <f t="array" ref="T33">SUM(OSRRefT22x_0)</f>
        <v>550197.27320438717</v>
      </c>
      <c r="U33" s="22"/>
      <c r="V33" s="33">
        <f t="shared" ref="V33:V64" si="17">IF(T$12=0,0,T33/T$12)</f>
        <v>0.11722332180504935</v>
      </c>
      <c r="W33" s="5"/>
      <c r="X33" s="22">
        <f t="shared" ref="X33:X64" si="18">+P33-T33</f>
        <v>-101715.20320438722</v>
      </c>
      <c r="Y33" s="5"/>
      <c r="Z33" s="33">
        <f t="shared" ref="Z33:Z64" si="19">IF(T33=0,0,X33/T33)</f>
        <v>-0.18487042404261803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14153.779999999999</v>
      </c>
      <c r="E34" s="2"/>
      <c r="F34" s="6">
        <f t="shared" si="12"/>
        <v>0.27831507628319124</v>
      </c>
      <c r="G34" s="2"/>
      <c r="H34" s="2">
        <f>SUM(OSRRefH22_0x_0)</f>
        <v>15572.661159169898</v>
      </c>
      <c r="I34" s="2"/>
      <c r="J34" s="6">
        <f t="shared" si="13"/>
        <v>0.82552275016803955</v>
      </c>
      <c r="K34" s="2"/>
      <c r="L34" s="2">
        <f t="shared" si="14"/>
        <v>-1418.8811591698995</v>
      </c>
      <c r="M34" s="2"/>
      <c r="N34" s="6">
        <f t="shared" si="15"/>
        <v>-9.1113596107136582E-2</v>
      </c>
      <c r="O34" s="14"/>
      <c r="P34" s="2">
        <f>SUM(OSRRefP22_0x_0)</f>
        <v>106932.53999999998</v>
      </c>
      <c r="Q34" s="2"/>
      <c r="R34" s="6">
        <f t="shared" si="16"/>
        <v>4.8556693274463769E-2</v>
      </c>
      <c r="S34" s="2"/>
      <c r="T34" s="2">
        <f>SUM(OSRRefT22_0x_0)</f>
        <v>147813.96420659518</v>
      </c>
      <c r="U34" s="2"/>
      <c r="V34" s="6">
        <f t="shared" si="17"/>
        <v>3.1492784020092791E-2</v>
      </c>
      <c r="W34" s="2"/>
      <c r="X34" s="2">
        <f t="shared" si="18"/>
        <v>-40881.424206595198</v>
      </c>
      <c r="Y34" s="2"/>
      <c r="Z34" s="6">
        <f t="shared" si="19"/>
        <v>-0.27657349172677925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2400.81</v>
      </c>
      <c r="E35" s="3"/>
      <c r="F35" s="8">
        <f t="shared" si="12"/>
        <v>4.7208704550406211E-2</v>
      </c>
      <c r="G35" s="3"/>
      <c r="H35" s="7">
        <v>2459.7806274747099</v>
      </c>
      <c r="I35" s="3"/>
      <c r="J35" s="8">
        <f t="shared" si="13"/>
        <v>0.13039549551922763</v>
      </c>
      <c r="K35" s="3"/>
      <c r="L35" s="7">
        <f t="shared" si="14"/>
        <v>-58.97062747471</v>
      </c>
      <c r="M35" s="3"/>
      <c r="N35" s="8">
        <f t="shared" si="15"/>
        <v>-2.3973937682097751E-2</v>
      </c>
      <c r="O35" s="12"/>
      <c r="P35" s="7">
        <v>21882.080000000002</v>
      </c>
      <c r="Q35" s="3"/>
      <c r="R35" s="8">
        <f t="shared" si="16"/>
        <v>9.9363715363656232E-3</v>
      </c>
      <c r="S35" s="3"/>
      <c r="T35" s="7">
        <v>23654.695034277502</v>
      </c>
      <c r="U35" s="3"/>
      <c r="V35" s="8">
        <f t="shared" si="17"/>
        <v>5.0397958391432173E-3</v>
      </c>
      <c r="W35" s="3"/>
      <c r="X35" s="7">
        <f t="shared" si="18"/>
        <v>-1772.6150342774999</v>
      </c>
      <c r="Y35" s="3"/>
      <c r="Z35" s="8">
        <f t="shared" si="19"/>
        <v>-7.4937133271379838E-2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295.63</v>
      </c>
      <c r="E36" s="3"/>
      <c r="F36" s="8">
        <f t="shared" si="12"/>
        <v>5.813166942088957E-3</v>
      </c>
      <c r="G36" s="3"/>
      <c r="H36" s="7">
        <v>567.83767035000005</v>
      </c>
      <c r="I36" s="3"/>
      <c r="J36" s="8">
        <f t="shared" si="13"/>
        <v>3.010165767334606E-2</v>
      </c>
      <c r="K36" s="3"/>
      <c r="L36" s="7">
        <f t="shared" si="14"/>
        <v>-272.20767035000006</v>
      </c>
      <c r="M36" s="3"/>
      <c r="N36" s="8">
        <f t="shared" si="15"/>
        <v>-0.47937585786131182</v>
      </c>
      <c r="O36" s="12"/>
      <c r="P36" s="7">
        <v>4061.6</v>
      </c>
      <c r="Q36" s="3"/>
      <c r="R36" s="8">
        <f t="shared" si="16"/>
        <v>1.8443204042806994E-3</v>
      </c>
      <c r="S36" s="3"/>
      <c r="T36" s="7">
        <v>5846.6058742799996</v>
      </c>
      <c r="U36" s="3"/>
      <c r="V36" s="8">
        <f t="shared" si="17"/>
        <v>1.2456596847098868E-3</v>
      </c>
      <c r="W36" s="3"/>
      <c r="X36" s="7">
        <f t="shared" si="18"/>
        <v>-1785.0058742799997</v>
      </c>
      <c r="Y36" s="3"/>
      <c r="Z36" s="8">
        <f t="shared" si="19"/>
        <v>-0.3053063457094789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4253.97</v>
      </c>
      <c r="E37" s="3"/>
      <c r="F37" s="8">
        <f t="shared" si="12"/>
        <v>8.3648607301823774E-2</v>
      </c>
      <c r="G37" s="3"/>
      <c r="H37" s="7">
        <v>5620</v>
      </c>
      <c r="I37" s="3"/>
      <c r="J37" s="8">
        <f t="shared" si="13"/>
        <v>0.29792196776929603</v>
      </c>
      <c r="K37" s="3"/>
      <c r="L37" s="7">
        <f t="shared" si="14"/>
        <v>-1366.0299999999997</v>
      </c>
      <c r="M37" s="3"/>
      <c r="N37" s="8">
        <f t="shared" si="15"/>
        <v>-0.24306583629893233</v>
      </c>
      <c r="O37" s="12"/>
      <c r="P37" s="7">
        <v>43597.69</v>
      </c>
      <c r="Q37" s="3"/>
      <c r="R37" s="8">
        <f t="shared" si="16"/>
        <v>1.9797151183401765E-2</v>
      </c>
      <c r="S37" s="3"/>
      <c r="T37" s="7">
        <v>54364</v>
      </c>
      <c r="U37" s="3"/>
      <c r="V37" s="8">
        <f t="shared" si="17"/>
        <v>1.1582624954672147E-2</v>
      </c>
      <c r="W37" s="3"/>
      <c r="X37" s="7">
        <f t="shared" si="18"/>
        <v>-10766.309999999998</v>
      </c>
      <c r="Y37" s="3"/>
      <c r="Z37" s="8">
        <f t="shared" si="19"/>
        <v>-0.19804116694871601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58.32</v>
      </c>
      <c r="E38" s="3"/>
      <c r="F38" s="8">
        <f t="shared" si="12"/>
        <v>1.1467844808125969E-3</v>
      </c>
      <c r="G38" s="3"/>
      <c r="H38" s="7">
        <v>76.439686393269199</v>
      </c>
      <c r="I38" s="3"/>
      <c r="J38" s="8">
        <f t="shared" si="13"/>
        <v>4.0521462252581216E-3</v>
      </c>
      <c r="K38" s="3"/>
      <c r="L38" s="7">
        <f t="shared" si="14"/>
        <v>-18.119686393269198</v>
      </c>
      <c r="M38" s="3"/>
      <c r="N38" s="8">
        <f t="shared" si="15"/>
        <v>-0.23704553548331544</v>
      </c>
      <c r="O38" s="12"/>
      <c r="P38" s="7">
        <v>805.62</v>
      </c>
      <c r="Q38" s="3"/>
      <c r="R38" s="8">
        <f t="shared" si="16"/>
        <v>3.6582169689201724E-4</v>
      </c>
      <c r="S38" s="3"/>
      <c r="T38" s="7">
        <v>787.04309846076899</v>
      </c>
      <c r="U38" s="3"/>
      <c r="V38" s="8">
        <f t="shared" si="17"/>
        <v>1.676849575571001E-4</v>
      </c>
      <c r="W38" s="3"/>
      <c r="X38" s="7">
        <f t="shared" si="18"/>
        <v>18.576901539231017</v>
      </c>
      <c r="Y38" s="3"/>
      <c r="Z38" s="8">
        <f t="shared" si="19"/>
        <v>2.3603410760556973E-2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2109.5500000000002</v>
      </c>
      <c r="E39" s="3"/>
      <c r="F39" s="8">
        <f t="shared" si="12"/>
        <v>4.1481467789749892E-2</v>
      </c>
      <c r="G39" s="3"/>
      <c r="H39" s="7">
        <v>2080.8534770576898</v>
      </c>
      <c r="I39" s="3"/>
      <c r="J39" s="8">
        <f t="shared" si="13"/>
        <v>0.11030817838516167</v>
      </c>
      <c r="K39" s="3"/>
      <c r="L39" s="7">
        <f t="shared" si="14"/>
        <v>28.696522942310366</v>
      </c>
      <c r="M39" s="3"/>
      <c r="N39" s="8">
        <f t="shared" si="15"/>
        <v>1.3790746565628936E-2</v>
      </c>
      <c r="O39" s="12"/>
      <c r="P39" s="7">
        <v>18955.59</v>
      </c>
      <c r="Q39" s="3"/>
      <c r="R39" s="8">
        <f t="shared" si="16"/>
        <v>8.6074900069379526E-3</v>
      </c>
      <c r="S39" s="3"/>
      <c r="T39" s="7">
        <v>18311.510598107699</v>
      </c>
      <c r="U39" s="3"/>
      <c r="V39" s="8">
        <f t="shared" si="17"/>
        <v>3.9013935621254087E-3</v>
      </c>
      <c r="W39" s="3"/>
      <c r="X39" s="7">
        <f t="shared" si="18"/>
        <v>644.07940189230067</v>
      </c>
      <c r="Y39" s="3"/>
      <c r="Z39" s="8">
        <f t="shared" si="19"/>
        <v>3.5173471813890626E-2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258.64999999999998</v>
      </c>
      <c r="E41" s="3"/>
      <c r="F41" s="8">
        <f t="shared" si="12"/>
        <v>5.0860049033295291E-3</v>
      </c>
      <c r="G41" s="3"/>
      <c r="H41" s="7"/>
      <c r="I41" s="3"/>
      <c r="J41" s="8">
        <f t="shared" si="13"/>
        <v>0</v>
      </c>
      <c r="K41" s="3"/>
      <c r="L41" s="7">
        <f t="shared" si="14"/>
        <v>258.64999999999998</v>
      </c>
      <c r="M41" s="3"/>
      <c r="N41" s="8">
        <f t="shared" si="15"/>
        <v>0</v>
      </c>
      <c r="O41" s="12"/>
      <c r="P41" s="7">
        <v>3215.36</v>
      </c>
      <c r="Q41" s="3"/>
      <c r="R41" s="8">
        <f t="shared" si="16"/>
        <v>1.4600536869972401E-3</v>
      </c>
      <c r="S41" s="3"/>
      <c r="T41" s="7"/>
      <c r="U41" s="3"/>
      <c r="V41" s="8">
        <f t="shared" si="17"/>
        <v>0</v>
      </c>
      <c r="W41" s="3"/>
      <c r="X41" s="7">
        <f t="shared" si="18"/>
        <v>3215.36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2277.9</v>
      </c>
      <c r="E42" s="3"/>
      <c r="F42" s="8">
        <f t="shared" si="12"/>
        <v>4.4791844458899423E-2</v>
      </c>
      <c r="G42" s="3"/>
      <c r="H42" s="7">
        <v>2111.4919273750002</v>
      </c>
      <c r="I42" s="3"/>
      <c r="J42" s="8">
        <f t="shared" si="13"/>
        <v>0.11193235408052375</v>
      </c>
      <c r="K42" s="3"/>
      <c r="L42" s="7">
        <f t="shared" si="14"/>
        <v>166.40807262499993</v>
      </c>
      <c r="M42" s="3"/>
      <c r="N42" s="8">
        <f t="shared" si="15"/>
        <v>7.8810660115512687E-2</v>
      </c>
      <c r="O42" s="12"/>
      <c r="P42" s="7">
        <v>19283.98</v>
      </c>
      <c r="Q42" s="3"/>
      <c r="R42" s="8">
        <f t="shared" si="16"/>
        <v>8.7566076890242574E-3</v>
      </c>
      <c r="S42" s="3"/>
      <c r="T42" s="7">
        <v>18581.128960900001</v>
      </c>
      <c r="U42" s="3"/>
      <c r="V42" s="8">
        <f t="shared" si="17"/>
        <v>3.9588376129148272E-3</v>
      </c>
      <c r="W42" s="3"/>
      <c r="X42" s="7">
        <f t="shared" si="18"/>
        <v>702.85103909999816</v>
      </c>
      <c r="Y42" s="3"/>
      <c r="Z42" s="8">
        <f t="shared" si="19"/>
        <v>3.7826067542989304E-2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1427.27</v>
      </c>
      <c r="E43" s="3"/>
      <c r="F43" s="8">
        <f t="shared" si="12"/>
        <v>2.8065347838295524E-2</v>
      </c>
      <c r="G43" s="3"/>
      <c r="H43" s="7">
        <v>1606.25777051923</v>
      </c>
      <c r="I43" s="3"/>
      <c r="J43" s="8">
        <f t="shared" si="13"/>
        <v>8.5149372907083867E-2</v>
      </c>
      <c r="K43" s="3"/>
      <c r="L43" s="7">
        <f t="shared" si="14"/>
        <v>-178.98777051923003</v>
      </c>
      <c r="M43" s="3"/>
      <c r="N43" s="8">
        <f t="shared" si="15"/>
        <v>-0.11143153596161058</v>
      </c>
      <c r="O43" s="12"/>
      <c r="P43" s="7">
        <v>-13902.82</v>
      </c>
      <c r="Q43" s="3"/>
      <c r="R43" s="8">
        <f t="shared" si="16"/>
        <v>-6.3130920334453899E-3</v>
      </c>
      <c r="S43" s="3"/>
      <c r="T43" s="7">
        <v>15768.9806405692</v>
      </c>
      <c r="U43" s="3"/>
      <c r="V43" s="8">
        <f t="shared" si="17"/>
        <v>3.3596900279081522E-3</v>
      </c>
      <c r="W43" s="3"/>
      <c r="X43" s="7">
        <f t="shared" si="18"/>
        <v>-29671.800640569199</v>
      </c>
      <c r="Y43" s="3"/>
      <c r="Z43" s="8">
        <f t="shared" si="19"/>
        <v>-1.8816562285726899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1071.68</v>
      </c>
      <c r="E44" s="3"/>
      <c r="F44" s="8">
        <f t="shared" si="12"/>
        <v>2.1073148017785388E-2</v>
      </c>
      <c r="G44" s="3"/>
      <c r="H44" s="7">
        <v>1050</v>
      </c>
      <c r="I44" s="3"/>
      <c r="J44" s="8">
        <f t="shared" si="13"/>
        <v>5.5661577608142492E-2</v>
      </c>
      <c r="K44" s="3"/>
      <c r="L44" s="7">
        <f t="shared" si="14"/>
        <v>21.680000000000064</v>
      </c>
      <c r="M44" s="3"/>
      <c r="N44" s="8">
        <f t="shared" si="15"/>
        <v>2.0647619047619109E-2</v>
      </c>
      <c r="O44" s="12"/>
      <c r="P44" s="7">
        <v>9033.44</v>
      </c>
      <c r="Q44" s="3"/>
      <c r="R44" s="8">
        <f t="shared" si="16"/>
        <v>4.101969104009613E-3</v>
      </c>
      <c r="S44" s="3"/>
      <c r="T44" s="7">
        <v>10500</v>
      </c>
      <c r="U44" s="3"/>
      <c r="V44" s="8">
        <f t="shared" si="17"/>
        <v>2.2370973810620547E-3</v>
      </c>
      <c r="W44" s="3"/>
      <c r="X44" s="7">
        <f t="shared" si="18"/>
        <v>-1466.5599999999995</v>
      </c>
      <c r="Y44" s="3"/>
      <c r="Z44" s="8">
        <f t="shared" si="19"/>
        <v>-0.13967238095238091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25386.38</v>
      </c>
      <c r="E45" s="2"/>
      <c r="F45" s="6">
        <f t="shared" si="12"/>
        <v>0.49918907078208663</v>
      </c>
      <c r="G45" s="2"/>
      <c r="H45" s="2">
        <f>SUM(OSRRefH22_1x_0)</f>
        <v>33286.314431567298</v>
      </c>
      <c r="I45" s="2"/>
      <c r="J45" s="6">
        <f t="shared" si="13"/>
        <v>1.7645416895444921</v>
      </c>
      <c r="K45" s="2"/>
      <c r="L45" s="2">
        <f t="shared" si="14"/>
        <v>-7899.934431567297</v>
      </c>
      <c r="M45" s="2"/>
      <c r="N45" s="6">
        <f t="shared" si="15"/>
        <v>-0.23733280678486116</v>
      </c>
      <c r="O45" s="14"/>
      <c r="P45" s="2">
        <f>SUM(OSRRefP22_1x_0)</f>
        <v>295270.24</v>
      </c>
      <c r="Q45" s="2"/>
      <c r="R45" s="6">
        <f t="shared" si="16"/>
        <v>0.13407842436696354</v>
      </c>
      <c r="S45" s="2"/>
      <c r="T45" s="2">
        <f>SUM(OSRRefT22_1x_0)</f>
        <v>347383.30899779202</v>
      </c>
      <c r="U45" s="2"/>
      <c r="V45" s="6">
        <f t="shared" si="17"/>
        <v>7.4012408646060096E-2</v>
      </c>
      <c r="W45" s="2"/>
      <c r="X45" s="2">
        <f t="shared" si="18"/>
        <v>-52113.068997792026</v>
      </c>
      <c r="Y45" s="2"/>
      <c r="Z45" s="6">
        <f t="shared" si="19"/>
        <v>-0.15001604178433126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19061.86</v>
      </c>
      <c r="E47" s="3"/>
      <c r="F47" s="8">
        <f t="shared" si="12"/>
        <v>0.37482587831657077</v>
      </c>
      <c r="G47" s="3"/>
      <c r="H47" s="7">
        <v>21617.1259715673</v>
      </c>
      <c r="I47" s="3"/>
      <c r="J47" s="8">
        <f t="shared" si="13"/>
        <v>1.1459460332679867</v>
      </c>
      <c r="K47" s="3"/>
      <c r="L47" s="7">
        <f t="shared" si="14"/>
        <v>-2555.2659715672999</v>
      </c>
      <c r="M47" s="3"/>
      <c r="N47" s="8">
        <f t="shared" si="15"/>
        <v>-0.1182056289503149</v>
      </c>
      <c r="O47" s="12"/>
      <c r="P47" s="7">
        <v>189059.20000000001</v>
      </c>
      <c r="Q47" s="3"/>
      <c r="R47" s="8">
        <f t="shared" si="16"/>
        <v>8.5849354977591497E-2</v>
      </c>
      <c r="S47" s="3"/>
      <c r="T47" s="7">
        <v>190230.70854979201</v>
      </c>
      <c r="U47" s="3"/>
      <c r="V47" s="8">
        <f t="shared" si="17"/>
        <v>4.0529963799458925E-2</v>
      </c>
      <c r="W47" s="3"/>
      <c r="X47" s="7">
        <f t="shared" si="18"/>
        <v>-1171.5085497919936</v>
      </c>
      <c r="Y47" s="3"/>
      <c r="Z47" s="8">
        <f t="shared" si="19"/>
        <v>-6.1583566539960433E-3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6483.84</v>
      </c>
      <c r="E49" s="3"/>
      <c r="F49" s="8">
        <f t="shared" si="12"/>
        <v>0.12749600631124738</v>
      </c>
      <c r="G49" s="3"/>
      <c r="H49" s="7">
        <v>7410.7284600000003</v>
      </c>
      <c r="I49" s="3"/>
      <c r="J49" s="8">
        <f t="shared" si="13"/>
        <v>0.39285032124681935</v>
      </c>
      <c r="K49" s="3"/>
      <c r="L49" s="7">
        <f t="shared" si="14"/>
        <v>-926.88846000000012</v>
      </c>
      <c r="M49" s="3"/>
      <c r="N49" s="8">
        <f t="shared" si="15"/>
        <v>-0.12507386622016375</v>
      </c>
      <c r="O49" s="12"/>
      <c r="P49" s="7">
        <v>61835.519999999997</v>
      </c>
      <c r="Q49" s="3"/>
      <c r="R49" s="8">
        <f t="shared" si="16"/>
        <v>2.8078715591221999E-2</v>
      </c>
      <c r="S49" s="3"/>
      <c r="T49" s="7">
        <v>65214.410448000002</v>
      </c>
      <c r="U49" s="3"/>
      <c r="V49" s="8">
        <f t="shared" si="17"/>
        <v>1.3894379697212066E-2</v>
      </c>
      <c r="W49" s="3"/>
      <c r="X49" s="7">
        <f t="shared" si="18"/>
        <v>-3378.8904480000056</v>
      </c>
      <c r="Y49" s="3"/>
      <c r="Z49" s="8">
        <f t="shared" si="19"/>
        <v>-5.1812021680303778E-2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/>
      <c r="E50" s="3"/>
      <c r="F50" s="8">
        <f t="shared" si="12"/>
        <v>0</v>
      </c>
      <c r="G50" s="3"/>
      <c r="H50" s="7">
        <v>2396.66</v>
      </c>
      <c r="I50" s="3"/>
      <c r="J50" s="8">
        <f t="shared" si="13"/>
        <v>0.12704940627650552</v>
      </c>
      <c r="K50" s="3"/>
      <c r="L50" s="7">
        <f t="shared" si="14"/>
        <v>-2396.66</v>
      </c>
      <c r="M50" s="3"/>
      <c r="N50" s="8">
        <f t="shared" si="15"/>
        <v>-1</v>
      </c>
      <c r="O50" s="12"/>
      <c r="P50" s="7">
        <v>14698.31</v>
      </c>
      <c r="Q50" s="3"/>
      <c r="R50" s="8">
        <f t="shared" si="16"/>
        <v>6.6743138274185168E-3</v>
      </c>
      <c r="S50" s="3"/>
      <c r="T50" s="7">
        <v>31379</v>
      </c>
      <c r="U50" s="3"/>
      <c r="V50" s="8">
        <f t="shared" si="17"/>
        <v>6.6855122590805914E-3</v>
      </c>
      <c r="W50" s="3"/>
      <c r="X50" s="7">
        <f t="shared" si="18"/>
        <v>-16680.690000000002</v>
      </c>
      <c r="Y50" s="3"/>
      <c r="Z50" s="8">
        <f t="shared" si="19"/>
        <v>-0.53158768603205975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-159.32</v>
      </c>
      <c r="E52" s="3"/>
      <c r="F52" s="8">
        <f t="shared" si="12"/>
        <v>-3.1328138457315312E-3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-159.32</v>
      </c>
      <c r="M52" s="3"/>
      <c r="N52" s="8">
        <f t="shared" si="15"/>
        <v>0</v>
      </c>
      <c r="O52" s="12"/>
      <c r="P52" s="7">
        <v>25710.73</v>
      </c>
      <c r="Q52" s="3"/>
      <c r="R52" s="8">
        <f t="shared" si="16"/>
        <v>1.1674912336998204E-2</v>
      </c>
      <c r="S52" s="3"/>
      <c r="T52" s="7">
        <v>26246.25</v>
      </c>
      <c r="U52" s="3"/>
      <c r="V52" s="8">
        <f t="shared" si="17"/>
        <v>5.591944489304757E-3</v>
      </c>
      <c r="W52" s="3"/>
      <c r="X52" s="7">
        <f t="shared" si="18"/>
        <v>-535.52000000000044</v>
      </c>
      <c r="Y52" s="3"/>
      <c r="Z52" s="8">
        <f t="shared" si="19"/>
        <v>-2.0403676715721311E-2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1861.8</v>
      </c>
      <c r="I53" s="3"/>
      <c r="J53" s="8">
        <f t="shared" si="13"/>
        <v>9.8695928753180659E-2</v>
      </c>
      <c r="K53" s="3"/>
      <c r="L53" s="7">
        <f t="shared" si="14"/>
        <v>-1861.8</v>
      </c>
      <c r="M53" s="3"/>
      <c r="N53" s="8">
        <f t="shared" si="15"/>
        <v>-1</v>
      </c>
      <c r="O53" s="12"/>
      <c r="P53" s="7">
        <v>3966.48</v>
      </c>
      <c r="Q53" s="3"/>
      <c r="R53" s="8">
        <f t="shared" si="16"/>
        <v>1.8011276337333338E-3</v>
      </c>
      <c r="S53" s="3"/>
      <c r="T53" s="7">
        <v>34312.94</v>
      </c>
      <c r="U53" s="3"/>
      <c r="V53" s="8">
        <f t="shared" si="17"/>
        <v>7.3106084010037542E-3</v>
      </c>
      <c r="W53" s="3"/>
      <c r="X53" s="7">
        <f t="shared" si="18"/>
        <v>-30346.460000000003</v>
      </c>
      <c r="Y53" s="3"/>
      <c r="Z53" s="8">
        <f t="shared" si="19"/>
        <v>-0.88440279381481157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97.81</v>
      </c>
      <c r="E56" s="2"/>
      <c r="F56" s="6">
        <f t="shared" si="12"/>
        <v>1.9233022988388217E-3</v>
      </c>
      <c r="G56" s="2"/>
      <c r="H56" s="2">
        <f>SUM(OSRRefH22_2x_0)</f>
        <v>100</v>
      </c>
      <c r="I56" s="2"/>
      <c r="J56" s="6">
        <f t="shared" si="13"/>
        <v>5.3011026293469038E-3</v>
      </c>
      <c r="K56" s="2"/>
      <c r="L56" s="2">
        <f t="shared" si="14"/>
        <v>-2.1899999999999977</v>
      </c>
      <c r="M56" s="2"/>
      <c r="N56" s="6">
        <f t="shared" si="15"/>
        <v>-2.1899999999999979E-2</v>
      </c>
      <c r="O56" s="14"/>
      <c r="P56" s="2">
        <f>SUM(OSRRefP22_2x_0)</f>
        <v>935.6</v>
      </c>
      <c r="Q56" s="2"/>
      <c r="R56" s="6">
        <f t="shared" si="16"/>
        <v>4.2484394579599729E-4</v>
      </c>
      <c r="S56" s="2"/>
      <c r="T56" s="2">
        <f>SUM(OSRRefT22_2x_0)</f>
        <v>3000</v>
      </c>
      <c r="U56" s="2"/>
      <c r="V56" s="6">
        <f t="shared" si="17"/>
        <v>6.3917068030344411E-4</v>
      </c>
      <c r="W56" s="2"/>
      <c r="X56" s="2">
        <f t="shared" si="18"/>
        <v>-2064.4</v>
      </c>
      <c r="Y56" s="2"/>
      <c r="Z56" s="6">
        <f t="shared" si="19"/>
        <v>-0.68813333333333337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>
        <v>97.81</v>
      </c>
      <c r="E57" s="3"/>
      <c r="F57" s="8">
        <f t="shared" si="12"/>
        <v>1.9233022988388217E-3</v>
      </c>
      <c r="G57" s="3"/>
      <c r="H57" s="7">
        <v>100</v>
      </c>
      <c r="I57" s="3"/>
      <c r="J57" s="8">
        <f t="shared" si="13"/>
        <v>5.3011026293469038E-3</v>
      </c>
      <c r="K57" s="3"/>
      <c r="L57" s="7">
        <f t="shared" si="14"/>
        <v>-2.1899999999999977</v>
      </c>
      <c r="M57" s="3"/>
      <c r="N57" s="8">
        <f t="shared" si="15"/>
        <v>-2.1899999999999979E-2</v>
      </c>
      <c r="O57" s="12"/>
      <c r="P57" s="7">
        <v>935.6</v>
      </c>
      <c r="Q57" s="3"/>
      <c r="R57" s="8">
        <f t="shared" si="16"/>
        <v>4.2484394579599729E-4</v>
      </c>
      <c r="S57" s="3"/>
      <c r="T57" s="7">
        <v>3000</v>
      </c>
      <c r="U57" s="3"/>
      <c r="V57" s="8">
        <f t="shared" si="17"/>
        <v>6.3917068030344411E-4</v>
      </c>
      <c r="W57" s="3"/>
      <c r="X57" s="7">
        <f t="shared" si="18"/>
        <v>-2064.4</v>
      </c>
      <c r="Y57" s="3"/>
      <c r="Z57" s="8">
        <f t="shared" si="19"/>
        <v>-0.68813333333333337</v>
      </c>
    </row>
    <row r="58" spans="1:26" s="69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6.1301766441277929E-7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7"/>
      <c r="E59" s="3"/>
      <c r="F59" s="8">
        <f t="shared" si="12"/>
        <v>0</v>
      </c>
      <c r="G59" s="3"/>
      <c r="H59" s="7"/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>
        <v>1.35</v>
      </c>
      <c r="Q59" s="3"/>
      <c r="R59" s="8">
        <f t="shared" si="16"/>
        <v>6.1301766441277929E-7</v>
      </c>
      <c r="S59" s="3"/>
      <c r="T59" s="7"/>
      <c r="U59" s="3"/>
      <c r="V59" s="8">
        <f t="shared" si="17"/>
        <v>0</v>
      </c>
      <c r="W59" s="3"/>
      <c r="X59" s="7">
        <f t="shared" si="18"/>
        <v>1.35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2.6505513146734519E-3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500</v>
      </c>
      <c r="U60" s="2"/>
      <c r="V60" s="6">
        <f t="shared" si="17"/>
        <v>1.0652844671724069E-4</v>
      </c>
      <c r="W60" s="2"/>
      <c r="X60" s="2">
        <f t="shared" si="18"/>
        <v>-500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50</v>
      </c>
      <c r="I61" s="3"/>
      <c r="J61" s="8">
        <f t="shared" si="13"/>
        <v>2.6505513146734519E-3</v>
      </c>
      <c r="K61" s="3"/>
      <c r="L61" s="7">
        <f t="shared" si="14"/>
        <v>-50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500</v>
      </c>
      <c r="U61" s="3"/>
      <c r="V61" s="8">
        <f t="shared" si="17"/>
        <v>1.0652844671724069E-4</v>
      </c>
      <c r="W61" s="3"/>
      <c r="X61" s="7">
        <f t="shared" si="18"/>
        <v>-500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1.7945053449752672E-3</v>
      </c>
      <c r="G62" s="2"/>
      <c r="H62" s="2">
        <f>SUM(OSRRefH22_5x_0)</f>
        <v>100</v>
      </c>
      <c r="I62" s="2"/>
      <c r="J62" s="6">
        <f t="shared" si="13"/>
        <v>5.3011026293469038E-3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912.6</v>
      </c>
      <c r="Q62" s="2"/>
      <c r="R62" s="6">
        <f t="shared" si="16"/>
        <v>4.143999411430388E-4</v>
      </c>
      <c r="S62" s="2"/>
      <c r="T62" s="2">
        <f>SUM(OSRRefT22_5x_0)</f>
        <v>1000</v>
      </c>
      <c r="U62" s="2"/>
      <c r="V62" s="6">
        <f t="shared" si="17"/>
        <v>2.1305689343448139E-4</v>
      </c>
      <c r="W62" s="2"/>
      <c r="X62" s="2">
        <f t="shared" si="18"/>
        <v>-87.399999999999977</v>
      </c>
      <c r="Y62" s="2"/>
      <c r="Z62" s="6">
        <f t="shared" si="19"/>
        <v>-8.7399999999999978E-2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7">
        <v>91.26</v>
      </c>
      <c r="E63" s="3"/>
      <c r="F63" s="8">
        <f t="shared" si="12"/>
        <v>1.7945053449752672E-3</v>
      </c>
      <c r="G63" s="3"/>
      <c r="H63" s="7">
        <v>100</v>
      </c>
      <c r="I63" s="3"/>
      <c r="J63" s="8">
        <f t="shared" si="13"/>
        <v>5.3011026293469038E-3</v>
      </c>
      <c r="K63" s="3"/>
      <c r="L63" s="7">
        <f t="shared" si="14"/>
        <v>-8.7399999999999949</v>
      </c>
      <c r="M63" s="3"/>
      <c r="N63" s="8">
        <f t="shared" si="15"/>
        <v>-8.739999999999995E-2</v>
      </c>
      <c r="O63" s="12"/>
      <c r="P63" s="7">
        <v>912.6</v>
      </c>
      <c r="Q63" s="3"/>
      <c r="R63" s="8">
        <f t="shared" si="16"/>
        <v>4.143999411430388E-4</v>
      </c>
      <c r="S63" s="3"/>
      <c r="T63" s="7">
        <v>1000</v>
      </c>
      <c r="U63" s="3"/>
      <c r="V63" s="8">
        <f t="shared" si="17"/>
        <v>2.1305689343448139E-4</v>
      </c>
      <c r="W63" s="3"/>
      <c r="X63" s="7">
        <f t="shared" si="18"/>
        <v>-87.399999999999977</v>
      </c>
      <c r="Y63" s="3"/>
      <c r="Z63" s="8">
        <f t="shared" si="19"/>
        <v>-8.7399999999999978E-2</v>
      </c>
    </row>
    <row r="64" spans="1:26" s="69" customFormat="1" ht="15" customHeight="1" outlineLevel="1" collapsed="1" x14ac:dyDescent="0.3">
      <c r="A64" s="25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6768.61</v>
      </c>
      <c r="E64" s="2"/>
      <c r="F64" s="6">
        <f t="shared" si="12"/>
        <v>0.13309562593746485</v>
      </c>
      <c r="G64" s="2"/>
      <c r="H64" s="2">
        <f>SUM(OSRRefH22_6x_0)</f>
        <v>2300</v>
      </c>
      <c r="I64" s="2"/>
      <c r="J64" s="6">
        <f t="shared" si="13"/>
        <v>0.12192536047497879</v>
      </c>
      <c r="K64" s="2"/>
      <c r="L64" s="2">
        <f t="shared" si="14"/>
        <v>4468.6099999999997</v>
      </c>
      <c r="M64" s="2"/>
      <c r="N64" s="6">
        <f t="shared" si="15"/>
        <v>1.9428739130434782</v>
      </c>
      <c r="O64" s="14"/>
      <c r="P64" s="2">
        <f>SUM(OSRRefP22_6x_0)</f>
        <v>12391.78</v>
      </c>
      <c r="Q64" s="2"/>
      <c r="R64" s="6">
        <f t="shared" si="16"/>
        <v>5.6269481729755485E-3</v>
      </c>
      <c r="S64" s="2"/>
      <c r="T64" s="2">
        <f>SUM(OSRRefT22_6x_0)</f>
        <v>16000</v>
      </c>
      <c r="U64" s="2"/>
      <c r="V64" s="6">
        <f t="shared" si="17"/>
        <v>3.4089102949517022E-3</v>
      </c>
      <c r="W64" s="2"/>
      <c r="X64" s="2">
        <f t="shared" si="18"/>
        <v>-3608.2199999999993</v>
      </c>
      <c r="Y64" s="2"/>
      <c r="Z64" s="6">
        <f t="shared" si="19"/>
        <v>-0.22551374999999996</v>
      </c>
    </row>
    <row r="65" spans="1:26" s="70" customFormat="1" ht="15" hidden="1" customHeight="1" outlineLevel="2" x14ac:dyDescent="0.3">
      <c r="A65" s="26"/>
      <c r="B65" s="12" t="str">
        <f>CONCATENATE("          ","6305"," - ","FREIGHT OUT")</f>
        <v xml:space="preserve">          6305 - FREIGHT OUT</v>
      </c>
      <c r="C65" s="12"/>
      <c r="D65" s="7">
        <v>6768.61</v>
      </c>
      <c r="E65" s="3"/>
      <c r="F65" s="8">
        <f t="shared" ref="F65:F85" si="20">IF(D$12=0,0,D65/D$12)</f>
        <v>0.13309562593746485</v>
      </c>
      <c r="G65" s="3"/>
      <c r="H65" s="7">
        <v>2300</v>
      </c>
      <c r="I65" s="3"/>
      <c r="J65" s="8">
        <f t="shared" ref="J65:J85" si="21">IF(H$12=0,0,H65/H$12)</f>
        <v>0.12192536047497879</v>
      </c>
      <c r="K65" s="3"/>
      <c r="L65" s="7">
        <f t="shared" ref="L65:L85" si="22">+D65-H65</f>
        <v>4468.6099999999997</v>
      </c>
      <c r="M65" s="3"/>
      <c r="N65" s="8">
        <f t="shared" ref="N65:N85" si="23">IF(H65=0,0,L65/H65)</f>
        <v>1.9428739130434782</v>
      </c>
      <c r="O65" s="12"/>
      <c r="P65" s="7">
        <v>12390.19</v>
      </c>
      <c r="Q65" s="3"/>
      <c r="R65" s="8">
        <f t="shared" ref="R65:R85" si="24">IF(P$12=0,0,P65/P$12)</f>
        <v>5.6262261743930181E-3</v>
      </c>
      <c r="S65" s="3"/>
      <c r="T65" s="7">
        <v>16000</v>
      </c>
      <c r="U65" s="3"/>
      <c r="V65" s="8">
        <f t="shared" ref="V65:V85" si="25">IF(T$12=0,0,T65/T$12)</f>
        <v>3.4089102949517022E-3</v>
      </c>
      <c r="W65" s="3"/>
      <c r="X65" s="7">
        <f t="shared" ref="X65:X85" si="26">+P65-T65</f>
        <v>-3609.8099999999995</v>
      </c>
      <c r="Y65" s="3"/>
      <c r="Z65" s="8">
        <f t="shared" ref="Z65:Z85" si="27">IF(T65=0,0,X65/T65)</f>
        <v>-0.22561312499999997</v>
      </c>
    </row>
    <row r="66" spans="1:26" s="70" customFormat="1" ht="15" hidden="1" customHeight="1" outlineLevel="2" x14ac:dyDescent="0.3">
      <c r="A66" s="26"/>
      <c r="B66" s="12" t="str">
        <f>CONCATENATE("          ","6307"," - ","POSTAGE")</f>
        <v xml:space="preserve">          6307 - POSTAGE</v>
      </c>
      <c r="C66" s="12"/>
      <c r="D66" s="7"/>
      <c r="E66" s="3"/>
      <c r="F66" s="8">
        <f t="shared" si="20"/>
        <v>0</v>
      </c>
      <c r="G66" s="3"/>
      <c r="H66" s="7"/>
      <c r="I66" s="3"/>
      <c r="J66" s="8">
        <f t="shared" si="21"/>
        <v>0</v>
      </c>
      <c r="K66" s="3"/>
      <c r="L66" s="7">
        <f t="shared" si="22"/>
        <v>0</v>
      </c>
      <c r="M66" s="3"/>
      <c r="N66" s="8">
        <f t="shared" si="23"/>
        <v>0</v>
      </c>
      <c r="O66" s="12"/>
      <c r="P66" s="7">
        <v>1.59</v>
      </c>
      <c r="Q66" s="3"/>
      <c r="R66" s="8">
        <f t="shared" si="24"/>
        <v>7.2199858253060671E-7</v>
      </c>
      <c r="S66" s="3"/>
      <c r="T66" s="7"/>
      <c r="U66" s="3"/>
      <c r="V66" s="8">
        <f t="shared" si="25"/>
        <v>0</v>
      </c>
      <c r="W66" s="3"/>
      <c r="X66" s="7">
        <f t="shared" si="26"/>
        <v>1.59</v>
      </c>
      <c r="Y66" s="3"/>
      <c r="Z66" s="8">
        <f t="shared" si="27"/>
        <v>0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500</v>
      </c>
      <c r="I67" s="2"/>
      <c r="J67" s="6">
        <f t="shared" si="21"/>
        <v>2.6505513146734522E-2</v>
      </c>
      <c r="K67" s="2"/>
      <c r="L67" s="2">
        <f t="shared" si="22"/>
        <v>-500</v>
      </c>
      <c r="M67" s="2"/>
      <c r="N67" s="6">
        <f t="shared" si="23"/>
        <v>-1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2000</v>
      </c>
      <c r="U67" s="2"/>
      <c r="V67" s="6">
        <f t="shared" si="25"/>
        <v>4.2611378686896277E-4</v>
      </c>
      <c r="W67" s="2"/>
      <c r="X67" s="2">
        <f t="shared" si="26"/>
        <v>-2000</v>
      </c>
      <c r="Y67" s="2"/>
      <c r="Z67" s="6">
        <f t="shared" si="27"/>
        <v>-1</v>
      </c>
    </row>
    <row r="68" spans="1:26" s="70" customFormat="1" ht="15" hidden="1" customHeight="1" outlineLevel="2" x14ac:dyDescent="0.3">
      <c r="A68" s="26"/>
      <c r="B68" s="12" t="str">
        <f>CONCATENATE("          ","6279"," - ","GENERAL EXPENSE")</f>
        <v xml:space="preserve">          6279 - GENERAL EXPENSE</v>
      </c>
      <c r="C68" s="12"/>
      <c r="D68" s="7"/>
      <c r="E68" s="3"/>
      <c r="F68" s="8">
        <f t="shared" si="20"/>
        <v>0</v>
      </c>
      <c r="G68" s="3"/>
      <c r="H68" s="7">
        <v>500</v>
      </c>
      <c r="I68" s="3"/>
      <c r="J68" s="8">
        <f t="shared" si="21"/>
        <v>2.6505513146734522E-2</v>
      </c>
      <c r="K68" s="3"/>
      <c r="L68" s="7">
        <f t="shared" si="22"/>
        <v>-500</v>
      </c>
      <c r="M68" s="3"/>
      <c r="N68" s="8">
        <f t="shared" si="23"/>
        <v>-1</v>
      </c>
      <c r="O68" s="12"/>
      <c r="P68" s="7"/>
      <c r="Q68" s="3"/>
      <c r="R68" s="8">
        <f t="shared" si="24"/>
        <v>0</v>
      </c>
      <c r="S68" s="3"/>
      <c r="T68" s="7">
        <v>2000</v>
      </c>
      <c r="U68" s="3"/>
      <c r="V68" s="8">
        <f t="shared" si="25"/>
        <v>4.2611378686896277E-4</v>
      </c>
      <c r="W68" s="3"/>
      <c r="X68" s="7">
        <f t="shared" si="26"/>
        <v>-2000</v>
      </c>
      <c r="Y68" s="3"/>
      <c r="Z68" s="8">
        <f t="shared" si="27"/>
        <v>-1</v>
      </c>
    </row>
    <row r="69" spans="1:26" s="69" customFormat="1" ht="15" customHeight="1" outlineLevel="1" collapsed="1" x14ac:dyDescent="0.3">
      <c r="A69" s="25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1.9663657078405294E-2</v>
      </c>
      <c r="G69" s="2"/>
      <c r="H69" s="2">
        <f>SUM(OSRRefH22_8x_0)</f>
        <v>1000</v>
      </c>
      <c r="I69" s="2"/>
      <c r="J69" s="6">
        <f t="shared" si="21"/>
        <v>5.3011026293469043E-2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14000</v>
      </c>
      <c r="Q69" s="2"/>
      <c r="R69" s="6">
        <f t="shared" si="24"/>
        <v>6.3572202235399333E-3</v>
      </c>
      <c r="S69" s="2"/>
      <c r="T69" s="2">
        <f>SUM(OSRRefT22_8x_0)</f>
        <v>14000</v>
      </c>
      <c r="U69" s="2"/>
      <c r="V69" s="6">
        <f t="shared" si="25"/>
        <v>2.9827965080827393E-3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3">
      <c r="A70" s="26"/>
      <c r="B70" s="12" t="str">
        <f>CONCATENATE("          ","6408"," - ","INVENTORY ADJUSTMENT")</f>
        <v xml:space="preserve">          6408 - INVENTORY ADJUSTMENT</v>
      </c>
      <c r="C70" s="12"/>
      <c r="D70" s="7">
        <v>1000</v>
      </c>
      <c r="E70" s="3"/>
      <c r="F70" s="8">
        <f t="shared" si="20"/>
        <v>1.9663657078405294E-2</v>
      </c>
      <c r="G70" s="3"/>
      <c r="H70" s="7">
        <v>1000</v>
      </c>
      <c r="I70" s="3"/>
      <c r="J70" s="8">
        <f t="shared" si="21"/>
        <v>5.3011026293469043E-2</v>
      </c>
      <c r="K70" s="3"/>
      <c r="L70" s="7">
        <f t="shared" si="22"/>
        <v>0</v>
      </c>
      <c r="M70" s="3"/>
      <c r="N70" s="8">
        <f t="shared" si="23"/>
        <v>0</v>
      </c>
      <c r="O70" s="12"/>
      <c r="P70" s="7">
        <v>14000</v>
      </c>
      <c r="Q70" s="3"/>
      <c r="R70" s="8">
        <f t="shared" si="24"/>
        <v>6.3572202235399333E-3</v>
      </c>
      <c r="S70" s="3"/>
      <c r="T70" s="7">
        <v>14000</v>
      </c>
      <c r="U70" s="3"/>
      <c r="V70" s="8">
        <f t="shared" si="25"/>
        <v>2.9827965080827393E-3</v>
      </c>
      <c r="W70" s="3"/>
      <c r="X70" s="7">
        <f t="shared" si="26"/>
        <v>0</v>
      </c>
      <c r="Y70" s="3"/>
      <c r="Z70" s="8">
        <f t="shared" si="27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17.25</v>
      </c>
      <c r="E71" s="2"/>
      <c r="F71" s="6">
        <f t="shared" si="20"/>
        <v>3.3919808460249133E-4</v>
      </c>
      <c r="G71" s="2"/>
      <c r="H71" s="2">
        <f>SUM(OSRRefH22_9x_0)</f>
        <v>80</v>
      </c>
      <c r="I71" s="2"/>
      <c r="J71" s="6">
        <f t="shared" si="21"/>
        <v>4.2408821034775231E-3</v>
      </c>
      <c r="K71" s="2"/>
      <c r="L71" s="2">
        <f t="shared" si="22"/>
        <v>-62.75</v>
      </c>
      <c r="M71" s="2"/>
      <c r="N71" s="6">
        <f t="shared" si="23"/>
        <v>-0.78437500000000004</v>
      </c>
      <c r="O71" s="14"/>
      <c r="P71" s="2">
        <f>SUM(OSRRefP22_9x_0)</f>
        <v>6062.4</v>
      </c>
      <c r="Q71" s="2"/>
      <c r="R71" s="6">
        <f t="shared" si="24"/>
        <v>2.7528579916563205E-3</v>
      </c>
      <c r="S71" s="2"/>
      <c r="T71" s="2">
        <f>SUM(OSRRefT22_9x_0)</f>
        <v>800</v>
      </c>
      <c r="U71" s="2"/>
      <c r="V71" s="6">
        <f t="shared" si="25"/>
        <v>1.704455147475851E-4</v>
      </c>
      <c r="W71" s="2"/>
      <c r="X71" s="2">
        <f t="shared" si="26"/>
        <v>5262.4</v>
      </c>
      <c r="Y71" s="2"/>
      <c r="Z71" s="6">
        <f t="shared" si="27"/>
        <v>6.5779999999999994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7"/>
      <c r="E72" s="3"/>
      <c r="F72" s="8">
        <f t="shared" si="20"/>
        <v>0</v>
      </c>
      <c r="G72" s="3"/>
      <c r="H72" s="7"/>
      <c r="I72" s="3"/>
      <c r="J72" s="8">
        <f t="shared" si="21"/>
        <v>0</v>
      </c>
      <c r="K72" s="3"/>
      <c r="L72" s="7">
        <f t="shared" si="22"/>
        <v>0</v>
      </c>
      <c r="M72" s="3"/>
      <c r="N72" s="8">
        <f t="shared" si="23"/>
        <v>0</v>
      </c>
      <c r="O72" s="12"/>
      <c r="P72" s="7">
        <v>5775</v>
      </c>
      <c r="Q72" s="3"/>
      <c r="R72" s="8">
        <f t="shared" si="24"/>
        <v>2.6223533422102224E-3</v>
      </c>
      <c r="S72" s="3"/>
      <c r="T72" s="7"/>
      <c r="U72" s="3"/>
      <c r="V72" s="8">
        <f t="shared" si="25"/>
        <v>0</v>
      </c>
      <c r="W72" s="3"/>
      <c r="X72" s="7">
        <f t="shared" si="26"/>
        <v>5775</v>
      </c>
      <c r="Y72" s="3"/>
      <c r="Z72" s="8">
        <f t="shared" si="27"/>
        <v>0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7">
        <v>17.25</v>
      </c>
      <c r="E73" s="3"/>
      <c r="F73" s="8">
        <f t="shared" si="20"/>
        <v>3.3919808460249133E-4</v>
      </c>
      <c r="G73" s="3"/>
      <c r="H73" s="7">
        <v>40</v>
      </c>
      <c r="I73" s="3"/>
      <c r="J73" s="8">
        <f t="shared" si="21"/>
        <v>2.1204410517387615E-3</v>
      </c>
      <c r="K73" s="3"/>
      <c r="L73" s="7">
        <f t="shared" si="22"/>
        <v>-22.75</v>
      </c>
      <c r="M73" s="3"/>
      <c r="N73" s="8">
        <f t="shared" si="23"/>
        <v>-0.56874999999999998</v>
      </c>
      <c r="O73" s="12"/>
      <c r="P73" s="7">
        <v>149.97999999999999</v>
      </c>
      <c r="Q73" s="3"/>
      <c r="R73" s="8">
        <f t="shared" si="24"/>
        <v>6.8103992080465652E-5</v>
      </c>
      <c r="S73" s="3"/>
      <c r="T73" s="7">
        <v>400</v>
      </c>
      <c r="U73" s="3"/>
      <c r="V73" s="8">
        <f t="shared" si="25"/>
        <v>8.5222757373792552E-5</v>
      </c>
      <c r="W73" s="3"/>
      <c r="X73" s="7">
        <f t="shared" si="26"/>
        <v>-250.02</v>
      </c>
      <c r="Y73" s="3"/>
      <c r="Z73" s="8">
        <f t="shared" si="27"/>
        <v>-0.62504999999999999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7"/>
      <c r="E74" s="3"/>
      <c r="F74" s="8">
        <f t="shared" si="20"/>
        <v>0</v>
      </c>
      <c r="G74" s="3"/>
      <c r="H74" s="7">
        <v>40</v>
      </c>
      <c r="I74" s="3"/>
      <c r="J74" s="8">
        <f t="shared" si="21"/>
        <v>2.1204410517387615E-3</v>
      </c>
      <c r="K74" s="3"/>
      <c r="L74" s="7">
        <f t="shared" si="22"/>
        <v>-40</v>
      </c>
      <c r="M74" s="3"/>
      <c r="N74" s="8">
        <f t="shared" si="23"/>
        <v>-1</v>
      </c>
      <c r="O74" s="12"/>
      <c r="P74" s="7">
        <v>137.41999999999999</v>
      </c>
      <c r="Q74" s="3"/>
      <c r="R74" s="8">
        <f t="shared" si="24"/>
        <v>6.2400657365632684E-5</v>
      </c>
      <c r="S74" s="3"/>
      <c r="T74" s="7">
        <v>400</v>
      </c>
      <c r="U74" s="3"/>
      <c r="V74" s="8">
        <f t="shared" si="25"/>
        <v>8.5222757373792552E-5</v>
      </c>
      <c r="W74" s="3"/>
      <c r="X74" s="7">
        <f t="shared" si="26"/>
        <v>-262.58000000000004</v>
      </c>
      <c r="Y74" s="3"/>
      <c r="Z74" s="8">
        <f t="shared" si="27"/>
        <v>-0.65645000000000009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2418.29</v>
      </c>
      <c r="E75" s="2"/>
      <c r="F75" s="6">
        <f t="shared" si="20"/>
        <v>4.7552425276136741E-2</v>
      </c>
      <c r="G75" s="2"/>
      <c r="H75" s="2">
        <f>SUM(OSRRefH22_10x_0)</f>
        <v>300</v>
      </c>
      <c r="I75" s="2"/>
      <c r="J75" s="6">
        <f t="shared" si="21"/>
        <v>1.5903307888040712E-2</v>
      </c>
      <c r="K75" s="2"/>
      <c r="L75" s="2">
        <f t="shared" si="22"/>
        <v>2118.29</v>
      </c>
      <c r="M75" s="2"/>
      <c r="N75" s="6">
        <f t="shared" si="23"/>
        <v>7.0609666666666664</v>
      </c>
      <c r="O75" s="14"/>
      <c r="P75" s="2">
        <f>SUM(OSRRefP22_10x_0)</f>
        <v>4840.3900000000003</v>
      </c>
      <c r="Q75" s="2"/>
      <c r="R75" s="6">
        <f t="shared" si="24"/>
        <v>2.1979589427014615E-3</v>
      </c>
      <c r="S75" s="2"/>
      <c r="T75" s="2">
        <f>SUM(OSRRefT22_10x_0)</f>
        <v>4900</v>
      </c>
      <c r="U75" s="2"/>
      <c r="V75" s="6">
        <f t="shared" si="25"/>
        <v>1.0439787778289587E-3</v>
      </c>
      <c r="W75" s="2"/>
      <c r="X75" s="2">
        <f t="shared" si="26"/>
        <v>-59.609999999999673</v>
      </c>
      <c r="Y75" s="2"/>
      <c r="Z75" s="6">
        <f t="shared" si="27"/>
        <v>-1.2165306122448913E-2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7">
        <v>510.65</v>
      </c>
      <c r="E76" s="3"/>
      <c r="F76" s="8">
        <f t="shared" si="20"/>
        <v>1.0041246487087662E-2</v>
      </c>
      <c r="G76" s="3"/>
      <c r="H76" s="7">
        <v>300</v>
      </c>
      <c r="I76" s="3"/>
      <c r="J76" s="8">
        <f t="shared" si="21"/>
        <v>1.5903307888040712E-2</v>
      </c>
      <c r="K76" s="3"/>
      <c r="L76" s="7">
        <f t="shared" si="22"/>
        <v>210.64999999999998</v>
      </c>
      <c r="M76" s="3"/>
      <c r="N76" s="8">
        <f t="shared" si="23"/>
        <v>0.70216666666666661</v>
      </c>
      <c r="O76" s="12"/>
      <c r="P76" s="7">
        <v>2932.75</v>
      </c>
      <c r="Q76" s="3"/>
      <c r="R76" s="8">
        <f t="shared" si="24"/>
        <v>1.3317241150419099E-3</v>
      </c>
      <c r="S76" s="3"/>
      <c r="T76" s="7">
        <v>3000</v>
      </c>
      <c r="U76" s="3"/>
      <c r="V76" s="8">
        <f t="shared" si="25"/>
        <v>6.3917068030344411E-4</v>
      </c>
      <c r="W76" s="3"/>
      <c r="X76" s="7">
        <f t="shared" si="26"/>
        <v>-67.25</v>
      </c>
      <c r="Y76" s="3"/>
      <c r="Z76" s="8">
        <f t="shared" si="27"/>
        <v>-2.2416666666666668E-2</v>
      </c>
    </row>
    <row r="77" spans="1:26" s="70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7">
        <v>1907.64</v>
      </c>
      <c r="E77" s="3"/>
      <c r="F77" s="8">
        <f t="shared" si="20"/>
        <v>3.7511178789049075E-2</v>
      </c>
      <c r="G77" s="3"/>
      <c r="H77" s="7"/>
      <c r="I77" s="3"/>
      <c r="J77" s="8">
        <f t="shared" si="21"/>
        <v>0</v>
      </c>
      <c r="K77" s="3"/>
      <c r="L77" s="7">
        <f t="shared" si="22"/>
        <v>1907.64</v>
      </c>
      <c r="M77" s="3"/>
      <c r="N77" s="8">
        <f t="shared" si="23"/>
        <v>0</v>
      </c>
      <c r="O77" s="12"/>
      <c r="P77" s="7">
        <v>1907.64</v>
      </c>
      <c r="Q77" s="3"/>
      <c r="R77" s="8">
        <f t="shared" si="24"/>
        <v>8.6623482765955137E-4</v>
      </c>
      <c r="S77" s="3"/>
      <c r="T77" s="7">
        <v>1900</v>
      </c>
      <c r="U77" s="3"/>
      <c r="V77" s="8">
        <f t="shared" si="25"/>
        <v>4.0480809752551462E-4</v>
      </c>
      <c r="W77" s="3"/>
      <c r="X77" s="7">
        <f t="shared" si="26"/>
        <v>7.6400000000001</v>
      </c>
      <c r="Y77" s="3"/>
      <c r="Z77" s="8">
        <f t="shared" si="27"/>
        <v>4.0210526315789998E-3</v>
      </c>
    </row>
    <row r="78" spans="1:26" s="69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53.26</v>
      </c>
      <c r="E78" s="2"/>
      <c r="F78" s="6">
        <f t="shared" si="20"/>
        <v>1.0472863759958659E-3</v>
      </c>
      <c r="G78" s="2"/>
      <c r="H78" s="2">
        <f>SUM(OSRRefH22_11x_0)</f>
        <v>700</v>
      </c>
      <c r="I78" s="2"/>
      <c r="J78" s="6">
        <f t="shared" si="21"/>
        <v>3.7107718405428328E-2</v>
      </c>
      <c r="K78" s="2"/>
      <c r="L78" s="2">
        <f t="shared" si="22"/>
        <v>-646.74</v>
      </c>
      <c r="M78" s="2"/>
      <c r="N78" s="6">
        <f t="shared" si="23"/>
        <v>-0.92391428571428569</v>
      </c>
      <c r="O78" s="14"/>
      <c r="P78" s="2">
        <f>SUM(OSRRefP22_11x_0)</f>
        <v>1533.62</v>
      </c>
      <c r="Q78" s="2"/>
      <c r="R78" s="6">
        <f t="shared" si="24"/>
        <v>6.963971485160937E-4</v>
      </c>
      <c r="S78" s="2"/>
      <c r="T78" s="2">
        <f>SUM(OSRRefT22_11x_0)</f>
        <v>8700</v>
      </c>
      <c r="U78" s="2"/>
      <c r="V78" s="6">
        <f t="shared" si="25"/>
        <v>1.853594972879988E-3</v>
      </c>
      <c r="W78" s="2"/>
      <c r="X78" s="2">
        <f t="shared" si="26"/>
        <v>-7166.38</v>
      </c>
      <c r="Y78" s="2"/>
      <c r="Z78" s="6">
        <f t="shared" si="27"/>
        <v>-0.82372183908045982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>
        <v>53.26</v>
      </c>
      <c r="E79" s="3"/>
      <c r="F79" s="8">
        <f t="shared" si="20"/>
        <v>1.0472863759958659E-3</v>
      </c>
      <c r="G79" s="3"/>
      <c r="H79" s="7">
        <v>300</v>
      </c>
      <c r="I79" s="3"/>
      <c r="J79" s="8">
        <f t="shared" si="21"/>
        <v>1.5903307888040712E-2</v>
      </c>
      <c r="K79" s="3"/>
      <c r="L79" s="7">
        <f t="shared" si="22"/>
        <v>-246.74</v>
      </c>
      <c r="M79" s="3"/>
      <c r="N79" s="8">
        <f t="shared" si="23"/>
        <v>-0.82246666666666668</v>
      </c>
      <c r="O79" s="12"/>
      <c r="P79" s="7">
        <v>1338.59</v>
      </c>
      <c r="Q79" s="3"/>
      <c r="R79" s="8">
        <f t="shared" si="24"/>
        <v>6.0783652993059425E-4</v>
      </c>
      <c r="S79" s="3"/>
      <c r="T79" s="7">
        <v>4200</v>
      </c>
      <c r="U79" s="3"/>
      <c r="V79" s="8">
        <f t="shared" si="25"/>
        <v>8.9483895242482186E-4</v>
      </c>
      <c r="W79" s="3"/>
      <c r="X79" s="7">
        <f t="shared" si="26"/>
        <v>-2861.41</v>
      </c>
      <c r="Y79" s="3"/>
      <c r="Z79" s="8">
        <f t="shared" si="27"/>
        <v>-0.68128809523809519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/>
      <c r="E80" s="3"/>
      <c r="F80" s="8">
        <f t="shared" si="20"/>
        <v>0</v>
      </c>
      <c r="G80" s="3"/>
      <c r="H80" s="7">
        <v>400</v>
      </c>
      <c r="I80" s="3"/>
      <c r="J80" s="8">
        <f t="shared" si="21"/>
        <v>2.1204410517387615E-2</v>
      </c>
      <c r="K80" s="3"/>
      <c r="L80" s="7">
        <f t="shared" si="22"/>
        <v>-400</v>
      </c>
      <c r="M80" s="3"/>
      <c r="N80" s="8">
        <f t="shared" si="23"/>
        <v>-1</v>
      </c>
      <c r="O80" s="12"/>
      <c r="P80" s="7">
        <v>195.03</v>
      </c>
      <c r="Q80" s="3"/>
      <c r="R80" s="8">
        <f t="shared" si="24"/>
        <v>8.856061858549952E-5</v>
      </c>
      <c r="S80" s="3"/>
      <c r="T80" s="7">
        <v>4500</v>
      </c>
      <c r="U80" s="3"/>
      <c r="V80" s="8">
        <f t="shared" si="25"/>
        <v>9.5875602045516627E-4</v>
      </c>
      <c r="W80" s="3"/>
      <c r="X80" s="7">
        <f t="shared" si="26"/>
        <v>-4304.97</v>
      </c>
      <c r="Y80" s="3"/>
      <c r="Z80" s="8">
        <f t="shared" si="27"/>
        <v>-0.95666000000000007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526.5</v>
      </c>
      <c r="E81" s="2"/>
      <c r="F81" s="6">
        <f t="shared" si="20"/>
        <v>1.0352915451780386E-2</v>
      </c>
      <c r="G81" s="2"/>
      <c r="H81" s="2">
        <f>SUM(OSRRefH22_12x_0)</f>
        <v>350</v>
      </c>
      <c r="I81" s="2"/>
      <c r="J81" s="6">
        <f t="shared" si="21"/>
        <v>1.8553859202714164E-2</v>
      </c>
      <c r="K81" s="2"/>
      <c r="L81" s="2">
        <f t="shared" si="22"/>
        <v>176.5</v>
      </c>
      <c r="M81" s="2"/>
      <c r="N81" s="6">
        <f t="shared" si="23"/>
        <v>0.50428571428571434</v>
      </c>
      <c r="O81" s="14"/>
      <c r="P81" s="2">
        <f>SUM(OSRRefP22_12x_0)</f>
        <v>5476.55</v>
      </c>
      <c r="Q81" s="2"/>
      <c r="R81" s="6">
        <f t="shared" si="24"/>
        <v>2.486831029659116E-3</v>
      </c>
      <c r="S81" s="2"/>
      <c r="T81" s="2">
        <f>SUM(OSRRefT22_12x_0)</f>
        <v>4100</v>
      </c>
      <c r="U81" s="2"/>
      <c r="V81" s="6">
        <f t="shared" si="25"/>
        <v>8.7353326308137365E-4</v>
      </c>
      <c r="W81" s="2"/>
      <c r="X81" s="2">
        <f t="shared" si="26"/>
        <v>1376.5500000000002</v>
      </c>
      <c r="Y81" s="2"/>
      <c r="Z81" s="6">
        <f t="shared" si="27"/>
        <v>0.33574390243902441</v>
      </c>
    </row>
    <row r="82" spans="1:26" s="70" customFormat="1" ht="15" hidden="1" customHeight="1" outlineLevel="2" x14ac:dyDescent="0.3">
      <c r="A82" s="26"/>
      <c r="B82" s="12" t="str">
        <f>CONCATENATE("          ","6303"," - ","DATA PHONE LINES")</f>
        <v xml:space="preserve">          6303 - DATA PHONE LINES</v>
      </c>
      <c r="C82" s="12"/>
      <c r="D82" s="7"/>
      <c r="E82" s="3"/>
      <c r="F82" s="8">
        <f t="shared" si="20"/>
        <v>0</v>
      </c>
      <c r="G82" s="3"/>
      <c r="H82" s="7">
        <v>0</v>
      </c>
      <c r="I82" s="3"/>
      <c r="J82" s="8">
        <f t="shared" si="21"/>
        <v>0</v>
      </c>
      <c r="K82" s="3"/>
      <c r="L82" s="7">
        <f t="shared" si="22"/>
        <v>0</v>
      </c>
      <c r="M82" s="3"/>
      <c r="N82" s="8">
        <f t="shared" si="23"/>
        <v>0</v>
      </c>
      <c r="O82" s="12"/>
      <c r="P82" s="7">
        <v>295</v>
      </c>
      <c r="Q82" s="3"/>
      <c r="R82" s="8">
        <f t="shared" si="24"/>
        <v>1.3395571185316287E-4</v>
      </c>
      <c r="S82" s="3"/>
      <c r="T82" s="7">
        <v>0</v>
      </c>
      <c r="U82" s="3"/>
      <c r="V82" s="8">
        <f t="shared" si="25"/>
        <v>0</v>
      </c>
      <c r="W82" s="3"/>
      <c r="X82" s="7">
        <f t="shared" si="26"/>
        <v>295</v>
      </c>
      <c r="Y82" s="3"/>
      <c r="Z82" s="8">
        <f t="shared" si="27"/>
        <v>0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526.5</v>
      </c>
      <c r="E83" s="3"/>
      <c r="F83" s="8">
        <f t="shared" si="20"/>
        <v>1.0352915451780386E-2</v>
      </c>
      <c r="G83" s="3"/>
      <c r="H83" s="7">
        <v>350</v>
      </c>
      <c r="I83" s="3"/>
      <c r="J83" s="8">
        <f t="shared" si="21"/>
        <v>1.8553859202714164E-2</v>
      </c>
      <c r="K83" s="3"/>
      <c r="L83" s="7">
        <f t="shared" si="22"/>
        <v>176.5</v>
      </c>
      <c r="M83" s="3"/>
      <c r="N83" s="8">
        <f t="shared" si="23"/>
        <v>0.50428571428571434</v>
      </c>
      <c r="O83" s="12"/>
      <c r="P83" s="7">
        <v>5181.55</v>
      </c>
      <c r="Q83" s="3"/>
      <c r="R83" s="8">
        <f t="shared" si="24"/>
        <v>2.3528753178059529E-3</v>
      </c>
      <c r="S83" s="3"/>
      <c r="T83" s="7">
        <v>4100</v>
      </c>
      <c r="U83" s="3"/>
      <c r="V83" s="8">
        <f t="shared" si="25"/>
        <v>8.7353326308137365E-4</v>
      </c>
      <c r="W83" s="3"/>
      <c r="X83" s="7">
        <f t="shared" si="26"/>
        <v>1081.5500000000002</v>
      </c>
      <c r="Y83" s="3"/>
      <c r="Z83" s="8">
        <f t="shared" si="27"/>
        <v>0.26379268292682934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125</v>
      </c>
      <c r="E84" s="2"/>
      <c r="F84" s="6">
        <f t="shared" si="20"/>
        <v>2.4579571348006617E-3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125</v>
      </c>
      <c r="M84" s="2"/>
      <c r="N84" s="6">
        <f t="shared" si="23"/>
        <v>0</v>
      </c>
      <c r="O84" s="14"/>
      <c r="P84" s="2">
        <f>SUM(OSRRefP22_13x_0)</f>
        <v>125</v>
      </c>
      <c r="Q84" s="2"/>
      <c r="R84" s="6">
        <f t="shared" si="24"/>
        <v>5.6760894853035122E-5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125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7">
        <v>125</v>
      </c>
      <c r="E85" s="3"/>
      <c r="F85" s="8">
        <f t="shared" si="20"/>
        <v>2.4579571348006617E-3</v>
      </c>
      <c r="G85" s="3"/>
      <c r="H85" s="7">
        <v>0</v>
      </c>
      <c r="I85" s="3"/>
      <c r="J85" s="8">
        <f t="shared" si="21"/>
        <v>0</v>
      </c>
      <c r="K85" s="3"/>
      <c r="L85" s="7">
        <f t="shared" si="22"/>
        <v>125</v>
      </c>
      <c r="M85" s="3"/>
      <c r="N85" s="8">
        <f t="shared" si="23"/>
        <v>0</v>
      </c>
      <c r="O85" s="12"/>
      <c r="P85" s="7">
        <v>125</v>
      </c>
      <c r="Q85" s="3"/>
      <c r="R85" s="8">
        <f t="shared" si="24"/>
        <v>5.6760894853035122E-5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125</v>
      </c>
      <c r="Y85" s="3"/>
      <c r="Z85" s="8">
        <f t="shared" si="27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8" t="s">
        <v>291</v>
      </c>
      <c r="C87" s="11"/>
      <c r="D87" s="5">
        <f>SUM(OSRRefD25x_0)</f>
        <v>6860.4</v>
      </c>
      <c r="E87" s="5"/>
      <c r="F87" s="13">
        <f>IF(D$12=0,0,D87/D$12)</f>
        <v>0.13490055302069168</v>
      </c>
      <c r="G87" s="5"/>
      <c r="H87" s="5">
        <f>SUM(OSRRefH25x_0)</f>
        <v>215</v>
      </c>
      <c r="I87" s="5"/>
      <c r="J87" s="13">
        <f>IF(H$12=0,0,H87/H$12)</f>
        <v>1.1397370653095843E-2</v>
      </c>
      <c r="K87" s="5"/>
      <c r="L87" s="5">
        <f>+D87-H87</f>
        <v>6645.4</v>
      </c>
      <c r="M87" s="5"/>
      <c r="N87" s="13">
        <f>IF(H87=0,0,L87/H87)</f>
        <v>30.908837209302323</v>
      </c>
      <c r="O87" s="11"/>
      <c r="P87" s="5">
        <f>SUM(OSRRefP25x_0)</f>
        <v>357264.84</v>
      </c>
      <c r="Q87" s="5"/>
      <c r="R87" s="13">
        <f>IF(P$12=0,0,P87/P$12)</f>
        <v>0.16222937614341135</v>
      </c>
      <c r="S87" s="5"/>
      <c r="T87" s="5">
        <f>SUM(OSRRefT25x_0)</f>
        <v>360316.23</v>
      </c>
      <c r="U87" s="5"/>
      <c r="V87" s="13">
        <f>IF(T$12=0,0,T87/T$12)</f>
        <v>7.6767856617824079E-2</v>
      </c>
      <c r="W87" s="5"/>
      <c r="X87" s="5">
        <f>+P87-T87</f>
        <v>-3051.3899999999558</v>
      </c>
      <c r="Y87" s="5"/>
      <c r="Z87" s="13">
        <f>IF(T87=0,0,X87/T87)</f>
        <v>-8.4686443350052692E-3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--7356.49</f>
        <v>7356.49</v>
      </c>
      <c r="E88" s="3"/>
      <c r="F88" s="20">
        <f>IF(D$12=0,0,D88/D$12)</f>
        <v>0.14465549666071775</v>
      </c>
      <c r="G88" s="3"/>
      <c r="H88" s="3">
        <v>215</v>
      </c>
      <c r="I88" s="3"/>
      <c r="J88" s="20">
        <f>IF(H$12=0,0,H88/H$12)</f>
        <v>1.1397370653095843E-2</v>
      </c>
      <c r="K88" s="3"/>
      <c r="L88" s="3">
        <f>+D88-H88</f>
        <v>7141.49</v>
      </c>
      <c r="M88" s="3"/>
      <c r="N88" s="20">
        <f>IF(H88=0,0,L88/H88)</f>
        <v>33.216232558139531</v>
      </c>
      <c r="O88" s="12"/>
      <c r="P88" s="3">
        <f>--29614.71</f>
        <v>29614.71</v>
      </c>
      <c r="Q88" s="3"/>
      <c r="R88" s="20">
        <f>IF(P$12=0,0,P88/P$12)</f>
        <v>1.3447659523305022E-2</v>
      </c>
      <c r="S88" s="3"/>
      <c r="T88" s="3">
        <v>32454</v>
      </c>
      <c r="U88" s="3"/>
      <c r="V88" s="20">
        <f>IF(T$12=0,0,T88/T$12)</f>
        <v>6.9145484195226592E-3</v>
      </c>
      <c r="W88" s="3"/>
      <c r="X88" s="3">
        <f>+P88-T88</f>
        <v>-2839.2900000000009</v>
      </c>
      <c r="Y88" s="3"/>
      <c r="Z88" s="20">
        <f>IF(T88=0,0,X88/T88)</f>
        <v>-8.7486596413385131E-2</v>
      </c>
    </row>
    <row r="89" spans="1:26" s="70" customFormat="1" ht="15" hidden="1" customHeight="1" outlineLevel="1" x14ac:dyDescent="0.3">
      <c r="A89" s="42"/>
      <c r="B89" s="12" t="str">
        <f>CONCATENATE("          ","9151"," - ","MISC. INCOME")</f>
        <v xml:space="preserve">          9151 - MISC. INCOME</v>
      </c>
      <c r="C89" s="12"/>
      <c r="D89" s="3">
        <f>0</f>
        <v>0</v>
      </c>
      <c r="E89" s="3"/>
      <c r="F89" s="20">
        <f>IF(D$12=0,0,D89/D$12)</f>
        <v>0</v>
      </c>
      <c r="G89" s="3"/>
      <c r="H89" s="3"/>
      <c r="I89" s="3"/>
      <c r="J89" s="20">
        <f>IF(H$12=0,0,H89/H$12)</f>
        <v>0</v>
      </c>
      <c r="K89" s="3"/>
      <c r="L89" s="3">
        <f>+D89-H89</f>
        <v>0</v>
      </c>
      <c r="M89" s="3"/>
      <c r="N89" s="20">
        <f>IF(H89=0,0,L89/H89)</f>
        <v>0</v>
      </c>
      <c r="O89" s="12"/>
      <c r="P89" s="3">
        <f>--323761.7</f>
        <v>323761.7</v>
      </c>
      <c r="Q89" s="3"/>
      <c r="R89" s="20">
        <f>IF(P$12=0,0,P89/P$12)</f>
        <v>0.14701603048911921</v>
      </c>
      <c r="S89" s="3"/>
      <c r="T89" s="3">
        <v>327862.23</v>
      </c>
      <c r="U89" s="3"/>
      <c r="V89" s="20">
        <f>IF(T$12=0,0,T89/T$12)</f>
        <v>6.985330819830142E-2</v>
      </c>
      <c r="W89" s="3"/>
      <c r="X89" s="3">
        <f>+P89-T89</f>
        <v>-4100.5299999999697</v>
      </c>
      <c r="Y89" s="3"/>
      <c r="Z89" s="20">
        <f>IF(T89=0,0,X89/T89)</f>
        <v>-1.2506869119995828E-2</v>
      </c>
    </row>
    <row r="90" spans="1:26" s="70" customFormat="1" ht="15" hidden="1" customHeight="1" outlineLevel="1" x14ac:dyDescent="0.3">
      <c r="A90" s="42"/>
      <c r="B90" s="12" t="str">
        <f>CONCATENATE("          ","9152"," - ","MISC. INCOME")</f>
        <v xml:space="preserve">          9152 - MISC. INCOME</v>
      </c>
      <c r="C90" s="12"/>
      <c r="D90" s="3">
        <f>-496.09</f>
        <v>-496.09</v>
      </c>
      <c r="E90" s="3"/>
      <c r="F90" s="20">
        <f>IF(D$12=0,0,D90/D$12)</f>
        <v>-9.754943640026081E-3</v>
      </c>
      <c r="G90" s="3"/>
      <c r="H90" s="3"/>
      <c r="I90" s="3"/>
      <c r="J90" s="20">
        <f>IF(H$12=0,0,H90/H$12)</f>
        <v>0</v>
      </c>
      <c r="K90" s="3"/>
      <c r="L90" s="3">
        <f>+D90-H90</f>
        <v>-496.09</v>
      </c>
      <c r="M90" s="3"/>
      <c r="N90" s="20">
        <f>IF(H90=0,0,L90/H90)</f>
        <v>0</v>
      </c>
      <c r="O90" s="12"/>
      <c r="P90" s="3">
        <f>--3888.43</f>
        <v>3888.43</v>
      </c>
      <c r="Q90" s="3"/>
      <c r="R90" s="20">
        <f>IF(P$12=0,0,P90/P$12)</f>
        <v>1.7656861309870988E-3</v>
      </c>
      <c r="S90" s="3"/>
      <c r="T90" s="3"/>
      <c r="U90" s="3"/>
      <c r="V90" s="20">
        <f>IF(T$12=0,0,T90/T$12)</f>
        <v>0</v>
      </c>
      <c r="W90" s="3"/>
      <c r="X90" s="3">
        <f>+P90-T90</f>
        <v>3888.43</v>
      </c>
      <c r="Y90" s="3"/>
      <c r="Z90" s="20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292</v>
      </c>
      <c r="C93" s="27"/>
      <c r="D93" s="21">
        <f>+D31-D33+D87</f>
        <v>-19306.679999999993</v>
      </c>
      <c r="E93" s="15"/>
      <c r="F93" s="23">
        <f>IF(D$12=0,0,D93/D$12)</f>
        <v>-0.3796399348425058</v>
      </c>
      <c r="G93" s="15"/>
      <c r="H93" s="21">
        <f>+H31-H33+H87</f>
        <v>-48892.975590737202</v>
      </c>
      <c r="I93" s="15"/>
      <c r="J93" s="23">
        <f>IF(H$12=0,0,H93/H$12)</f>
        <v>-2.5918668146065098</v>
      </c>
      <c r="K93" s="17"/>
      <c r="L93" s="21">
        <f>+D93-H93</f>
        <v>29586.295590737209</v>
      </c>
      <c r="M93" s="17"/>
      <c r="N93" s="23">
        <f>IF(H93=0,0,L93/H93)</f>
        <v>-0.60512364472131552</v>
      </c>
      <c r="O93" s="28"/>
      <c r="P93" s="21">
        <f>+P31-P33+P87</f>
        <v>430219.96000000049</v>
      </c>
      <c r="Q93" s="15"/>
      <c r="R93" s="23">
        <f>IF(P$12=0,0,P93/P$12)</f>
        <v>0.19535735930589601</v>
      </c>
      <c r="S93" s="15"/>
      <c r="T93" s="21">
        <f>+T31-T33+T87</f>
        <v>1108754.9567956128</v>
      </c>
      <c r="U93" s="15"/>
      <c r="V93" s="23">
        <f>IF(T$12=0,0,T93/T$12)</f>
        <v>0.23622788667495589</v>
      </c>
      <c r="W93" s="17"/>
      <c r="X93" s="21">
        <f>+P93-T93</f>
        <v>-678534.99679561239</v>
      </c>
      <c r="Y93" s="17"/>
      <c r="Z93" s="23">
        <f>IF(T93=0,0,X93/T93)</f>
        <v>-0.61197922285428219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-7284.08</v>
      </c>
      <c r="E95" s="5"/>
      <c r="F95" s="13">
        <f>IF(D$12=0,0,D95/D$12)</f>
        <v>-0.14323165125167042</v>
      </c>
      <c r="G95" s="5"/>
      <c r="H95" s="5">
        <v>8084</v>
      </c>
      <c r="I95" s="5"/>
      <c r="J95" s="13">
        <f>IF(H$12=0,0,H95/H$12)</f>
        <v>0.42854113655640375</v>
      </c>
      <c r="K95" s="5"/>
      <c r="L95" s="5">
        <f>+D95-H95</f>
        <v>-15368.08</v>
      </c>
      <c r="M95" s="5"/>
      <c r="N95" s="13">
        <f>IF(H95=0,0,L95/H95)</f>
        <v>-1.901048985650668</v>
      </c>
      <c r="O95" s="11"/>
      <c r="P95" s="5">
        <v>249476.07</v>
      </c>
      <c r="Q95" s="5"/>
      <c r="R95" s="13">
        <f>IF(P$12=0,0,P95/P$12)</f>
        <v>0.11328387982094744</v>
      </c>
      <c r="S95" s="5"/>
      <c r="T95" s="5">
        <v>577377</v>
      </c>
      <c r="U95" s="5"/>
      <c r="V95" s="13">
        <f>IF(T$12=0,0,T95/T$12)</f>
        <v>0.12301414996052056</v>
      </c>
      <c r="W95" s="5"/>
      <c r="X95" s="5">
        <f>+P95-T95</f>
        <v>-327900.93</v>
      </c>
      <c r="Y95" s="5"/>
      <c r="Z95" s="13">
        <f>IF(T95=0,0,X95/T95)</f>
        <v>-0.5679147766537288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294</v>
      </c>
      <c r="C97" s="27"/>
      <c r="D97" s="29">
        <f>+D93-D95</f>
        <v>-12022.599999999993</v>
      </c>
      <c r="E97" s="15"/>
      <c r="F97" s="30">
        <f>IF(D$12=0,0,D97/D$12)</f>
        <v>-0.23640828359083535</v>
      </c>
      <c r="G97" s="15"/>
      <c r="H97" s="29">
        <f>+H93-H95</f>
        <v>-56976.975590737202</v>
      </c>
      <c r="I97" s="15"/>
      <c r="J97" s="30">
        <f>IF(H$12=0,0,H97/H$12)</f>
        <v>-3.0204079511629134</v>
      </c>
      <c r="K97" s="17"/>
      <c r="L97" s="29">
        <f>D97-H97</f>
        <v>44954.375590737211</v>
      </c>
      <c r="M97" s="17"/>
      <c r="N97" s="30">
        <f>IF(H97=0,0,L97/H97)</f>
        <v>-0.78899195902643671</v>
      </c>
      <c r="O97" s="28"/>
      <c r="P97" s="29">
        <f>+P93-P95</f>
        <v>180743.89000000048</v>
      </c>
      <c r="Q97" s="15"/>
      <c r="R97" s="30">
        <f>IF(P$12=0,0,P97/P$12)</f>
        <v>8.2073479484948586E-2</v>
      </c>
      <c r="S97" s="15"/>
      <c r="T97" s="29">
        <f>+T93-T95</f>
        <v>531377.95679561282</v>
      </c>
      <c r="U97" s="15"/>
      <c r="V97" s="30">
        <f>IF(T$12=0,0,T97/T$12)</f>
        <v>0.11321373671443533</v>
      </c>
      <c r="W97" s="17"/>
      <c r="X97" s="29">
        <f>P97-T97</f>
        <v>-350634.06679561234</v>
      </c>
      <c r="Y97" s="17"/>
      <c r="Z97" s="30">
        <f>IF(T97=0,0,X97/T97)</f>
        <v>-0.6598581335779401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297</v>
      </c>
      <c r="C100" s="27"/>
      <c r="D100" s="32">
        <f>SUM(D97:D99)</f>
        <v>-12022.599999999993</v>
      </c>
      <c r="E100" s="15"/>
      <c r="F100" s="34">
        <f>IF(D$12=0,0,D100/D$12)</f>
        <v>-0.23640828359083535</v>
      </c>
      <c r="G100" s="15"/>
      <c r="H100" s="32">
        <f>SUM(H97:H99)</f>
        <v>-56976.975590737202</v>
      </c>
      <c r="I100" s="15"/>
      <c r="J100" s="34">
        <f>IF(H$12=0,0,H100/H$12)</f>
        <v>-3.0204079511629134</v>
      </c>
      <c r="K100" s="17"/>
      <c r="L100" s="32">
        <f>+D100-H100</f>
        <v>44954.375590737211</v>
      </c>
      <c r="M100" s="17"/>
      <c r="N100" s="34">
        <f>IF(H100=0,0,L100/H100)</f>
        <v>-0.78899195902643671</v>
      </c>
      <c r="O100" s="28"/>
      <c r="P100" s="32">
        <f>SUM(P97:P99)</f>
        <v>180743.89000000048</v>
      </c>
      <c r="Q100" s="15"/>
      <c r="R100" s="34">
        <f>IF(P$12=0,0,P100/P$12)</f>
        <v>8.2073479484948586E-2</v>
      </c>
      <c r="S100" s="15"/>
      <c r="T100" s="32">
        <f>SUM(T97:T99)</f>
        <v>531377.95679561282</v>
      </c>
      <c r="U100" s="15"/>
      <c r="V100" s="34">
        <f>IF(T$12=0,0,T100/T$12)</f>
        <v>0.11321373671443533</v>
      </c>
      <c r="W100" s="17"/>
      <c r="X100" s="32">
        <f>+P100-T100</f>
        <v>-350634.06679561234</v>
      </c>
      <c r="Y100" s="17"/>
      <c r="Z100" s="34">
        <f>IF(T100=0,0,X100/T100)</f>
        <v>-0.6598581335779401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6">
        <v>44694.888547453702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0" t="s">
        <v>298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1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0E42D-DF11-948B-CE8E-761EBAEF40C9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","311"," - ","Textbooks")</f>
        <v>Department 311 - Textbooks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54654.67</v>
      </c>
      <c r="E12" s="5"/>
      <c r="F12" s="13"/>
      <c r="G12" s="5"/>
      <c r="H12" s="5">
        <f>SUM(OSRRefH13x_0)</f>
        <v>17656</v>
      </c>
      <c r="I12" s="5"/>
      <c r="J12" s="13"/>
      <c r="K12" s="5"/>
      <c r="L12" s="5">
        <f t="shared" ref="L12:L17" si="0">+D12-H12</f>
        <v>36998.67</v>
      </c>
      <c r="M12" s="5"/>
      <c r="N12" s="13">
        <f t="shared" ref="N12:N17" si="1">IF(H12=0,0,L12/H12)</f>
        <v>2.0955295650203896</v>
      </c>
      <c r="O12" s="11"/>
      <c r="P12" s="5">
        <f>SUM(OSRRefP13x_0)</f>
        <v>1767208.1799999997</v>
      </c>
      <c r="Q12" s="5"/>
      <c r="R12" s="13"/>
      <c r="S12" s="5"/>
      <c r="T12" s="5">
        <f>SUM(OSRRefT13x_0)</f>
        <v>3159988</v>
      </c>
      <c r="U12" s="5"/>
      <c r="V12" s="13"/>
      <c r="W12" s="5"/>
      <c r="X12" s="5">
        <f t="shared" ref="X12:X17" si="2">+P12-T12</f>
        <v>-1392779.8200000003</v>
      </c>
      <c r="Y12" s="5"/>
      <c r="Z12" s="13">
        <f t="shared" ref="Z12:Z17" si="3">IF(T12=0,0,X12/T12)</f>
        <v>-0.44075478134727103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--38546.36</f>
        <v>38546.36</v>
      </c>
      <c r="E13" s="3"/>
      <c r="F13" s="20"/>
      <c r="G13" s="3"/>
      <c r="H13" s="3">
        <v>17656</v>
      </c>
      <c r="I13" s="3"/>
      <c r="J13" s="20"/>
      <c r="K13" s="3"/>
      <c r="L13" s="3">
        <f t="shared" si="0"/>
        <v>20890.36</v>
      </c>
      <c r="M13" s="3"/>
      <c r="N13" s="20">
        <f t="shared" si="1"/>
        <v>1.1831875849569551</v>
      </c>
      <c r="O13" s="12"/>
      <c r="P13" s="3">
        <f>--1394155.2</f>
        <v>1394155.2</v>
      </c>
      <c r="Q13" s="3"/>
      <c r="R13" s="20"/>
      <c r="S13" s="3"/>
      <c r="T13" s="3">
        <v>3159988</v>
      </c>
      <c r="U13" s="3"/>
      <c r="V13" s="20"/>
      <c r="W13" s="3"/>
      <c r="X13" s="3">
        <f t="shared" si="2"/>
        <v>-1765832.8</v>
      </c>
      <c r="Y13" s="3"/>
      <c r="Z13" s="20">
        <f t="shared" si="3"/>
        <v>-0.55880997016444367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--22133.53</f>
        <v>22133.53</v>
      </c>
      <c r="E14" s="3"/>
      <c r="F14" s="20"/>
      <c r="G14" s="3"/>
      <c r="H14" s="3"/>
      <c r="I14" s="3"/>
      <c r="J14" s="20"/>
      <c r="K14" s="3"/>
      <c r="L14" s="3">
        <f t="shared" si="0"/>
        <v>22133.53</v>
      </c>
      <c r="M14" s="3"/>
      <c r="N14" s="20">
        <f t="shared" si="1"/>
        <v>0</v>
      </c>
      <c r="O14" s="12"/>
      <c r="P14" s="3">
        <f>--471368.12</f>
        <v>471368.12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471368.12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--2760.42</f>
        <v>2760.42</v>
      </c>
      <c r="E15" s="3"/>
      <c r="F15" s="20"/>
      <c r="G15" s="3"/>
      <c r="H15" s="3"/>
      <c r="I15" s="3"/>
      <c r="J15" s="20"/>
      <c r="K15" s="3"/>
      <c r="L15" s="3">
        <f t="shared" si="0"/>
        <v>2760.42</v>
      </c>
      <c r="M15" s="3"/>
      <c r="N15" s="20">
        <f t="shared" si="1"/>
        <v>0</v>
      </c>
      <c r="O15" s="12"/>
      <c r="P15" s="3">
        <f>-52751.87</f>
        <v>-52751.87</v>
      </c>
      <c r="Q15" s="3"/>
      <c r="R15" s="20"/>
      <c r="S15" s="3"/>
      <c r="T15" s="3"/>
      <c r="U15" s="3"/>
      <c r="V15" s="20"/>
      <c r="W15" s="3"/>
      <c r="X15" s="3">
        <f t="shared" si="2"/>
        <v>-52751.87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-8718.04</f>
        <v>-8718.0400000000009</v>
      </c>
      <c r="E16" s="3"/>
      <c r="F16" s="20"/>
      <c r="G16" s="3"/>
      <c r="H16" s="3"/>
      <c r="I16" s="3"/>
      <c r="J16" s="20"/>
      <c r="K16" s="3"/>
      <c r="L16" s="3">
        <f t="shared" si="0"/>
        <v>-8718.0400000000009</v>
      </c>
      <c r="M16" s="3"/>
      <c r="N16" s="20">
        <f t="shared" si="1"/>
        <v>0</v>
      </c>
      <c r="O16" s="12"/>
      <c r="P16" s="3">
        <f>-38066.71</f>
        <v>-38066.71</v>
      </c>
      <c r="Q16" s="3"/>
      <c r="R16" s="20"/>
      <c r="S16" s="3"/>
      <c r="T16" s="3"/>
      <c r="U16" s="3"/>
      <c r="V16" s="20"/>
      <c r="W16" s="3"/>
      <c r="X16" s="3">
        <f t="shared" si="2"/>
        <v>-38066.71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-67.6</f>
        <v>-67.599999999999994</v>
      </c>
      <c r="E17" s="3"/>
      <c r="F17" s="20"/>
      <c r="G17" s="3"/>
      <c r="H17" s="3"/>
      <c r="I17" s="3"/>
      <c r="J17" s="20"/>
      <c r="K17" s="3"/>
      <c r="L17" s="3">
        <f t="shared" si="0"/>
        <v>-67.599999999999994</v>
      </c>
      <c r="M17" s="3"/>
      <c r="N17" s="20">
        <f t="shared" si="1"/>
        <v>0</v>
      </c>
      <c r="O17" s="12"/>
      <c r="P17" s="3">
        <f>-7496.56</f>
        <v>-7496.56</v>
      </c>
      <c r="Q17" s="3"/>
      <c r="R17" s="20"/>
      <c r="S17" s="3"/>
      <c r="T17" s="3"/>
      <c r="U17" s="3"/>
      <c r="V17" s="20"/>
      <c r="W17" s="3"/>
      <c r="X17" s="3">
        <f t="shared" si="2"/>
        <v>-7496.56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49207.610000000015</v>
      </c>
      <c r="E19" s="5"/>
      <c r="F19" s="13">
        <f t="shared" ref="F19:F29" si="4">IF(D$12=0,0,D19/D$12)</f>
        <v>0.90033678732302325</v>
      </c>
      <c r="G19" s="5"/>
      <c r="H19" s="5">
        <f>SUM(OSRRefH16x_0)</f>
        <v>12757</v>
      </c>
      <c r="I19" s="5"/>
      <c r="J19" s="13">
        <f t="shared" ref="J19:J29" si="5">IF(H$12=0,0,H19/H$12)</f>
        <v>0.72253058450385144</v>
      </c>
      <c r="K19" s="5"/>
      <c r="L19" s="5">
        <f t="shared" ref="L19:L29" si="6">+D19-H19</f>
        <v>36450.610000000015</v>
      </c>
      <c r="M19" s="5"/>
      <c r="N19" s="13">
        <f t="shared" ref="N19:N29" si="7">IF(H19=0,0,L19/H19)</f>
        <v>2.8573026573645852</v>
      </c>
      <c r="O19" s="11"/>
      <c r="P19" s="5">
        <f>SUM(OSRRefP16x_0)</f>
        <v>1378380.4499999997</v>
      </c>
      <c r="Q19" s="5"/>
      <c r="R19" s="13">
        <f t="shared" ref="R19:R29" si="8">IF(P$12=0,0,P19/P$12)</f>
        <v>0.7799762730840234</v>
      </c>
      <c r="S19" s="5"/>
      <c r="T19" s="5">
        <f>SUM(OSRRefT16x_0)</f>
        <v>2283090</v>
      </c>
      <c r="U19" s="5"/>
      <c r="V19" s="13">
        <f t="shared" ref="V19:V29" si="9">IF(T$12=0,0,T19/T$12)</f>
        <v>0.72249957911232576</v>
      </c>
      <c r="W19" s="5"/>
      <c r="X19" s="5">
        <f t="shared" ref="X19:X29" si="10">+P19-T19</f>
        <v>-904709.55000000028</v>
      </c>
      <c r="Y19" s="5"/>
      <c r="Z19" s="13">
        <f t="shared" ref="Z19:Z29" si="11">IF(T19=0,0,X19/T19)</f>
        <v>-0.39626539032626845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-163387.74</v>
      </c>
      <c r="E20" s="3"/>
      <c r="F20" s="20">
        <f t="shared" si="4"/>
        <v>-2.989456161751594</v>
      </c>
      <c r="G20" s="3"/>
      <c r="H20" s="3">
        <v>12757</v>
      </c>
      <c r="I20" s="3"/>
      <c r="J20" s="20">
        <f t="shared" si="5"/>
        <v>0.72253058450385144</v>
      </c>
      <c r="K20" s="3"/>
      <c r="L20" s="3">
        <f t="shared" si="6"/>
        <v>-176144.74</v>
      </c>
      <c r="M20" s="3"/>
      <c r="N20" s="20">
        <f t="shared" si="7"/>
        <v>-13.807693031276946</v>
      </c>
      <c r="O20" s="12"/>
      <c r="P20" s="3">
        <v>1121910.8</v>
      </c>
      <c r="Q20" s="3"/>
      <c r="R20" s="20">
        <f t="shared" si="8"/>
        <v>0.63484925697888084</v>
      </c>
      <c r="S20" s="3"/>
      <c r="T20" s="3">
        <v>2283090</v>
      </c>
      <c r="U20" s="3"/>
      <c r="V20" s="20">
        <f t="shared" si="9"/>
        <v>0.72249957911232576</v>
      </c>
      <c r="W20" s="3"/>
      <c r="X20" s="3">
        <f t="shared" si="10"/>
        <v>-1161179.2</v>
      </c>
      <c r="Y20" s="3"/>
      <c r="Z20" s="20">
        <f t="shared" si="11"/>
        <v>-0.50859983618692206</v>
      </c>
    </row>
    <row r="21" spans="1:26" s="70" customFormat="1" ht="15" hidden="1" customHeight="1" outlineLevel="1" x14ac:dyDescent="0.3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","5200"," - ","PURCHASES OFFSET")</f>
        <v xml:space="preserve">          5200 - PURCHASES OFFSET</v>
      </c>
      <c r="C24" s="12"/>
      <c r="D24" s="3">
        <v>160822.91</v>
      </c>
      <c r="E24" s="3"/>
      <c r="F24" s="20">
        <f t="shared" si="4"/>
        <v>2.942528241411027</v>
      </c>
      <c r="G24" s="3"/>
      <c r="H24" s="3"/>
      <c r="I24" s="3"/>
      <c r="J24" s="20">
        <f t="shared" si="5"/>
        <v>0</v>
      </c>
      <c r="K24" s="3"/>
      <c r="L24" s="3">
        <f t="shared" si="6"/>
        <v>160822.91</v>
      </c>
      <c r="M24" s="3"/>
      <c r="N24" s="20">
        <f t="shared" si="7"/>
        <v>0</v>
      </c>
      <c r="O24" s="12"/>
      <c r="P24" s="3">
        <v>-1201082.6100000001</v>
      </c>
      <c r="Q24" s="3"/>
      <c r="R24" s="20">
        <f t="shared" si="8"/>
        <v>-0.67964975694035112</v>
      </c>
      <c r="S24" s="3"/>
      <c r="T24" s="3"/>
      <c r="U24" s="3"/>
      <c r="V24" s="20">
        <f t="shared" si="9"/>
        <v>0</v>
      </c>
      <c r="W24" s="3"/>
      <c r="X24" s="3">
        <f t="shared" si="10"/>
        <v>-1201082.6100000001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","5300"," - ","COG$ OFFSET")</f>
        <v xml:space="preserve">          5300 - COG$ OFFSET</v>
      </c>
      <c r="C25" s="12"/>
      <c r="D25" s="3">
        <v>49207.61</v>
      </c>
      <c r="E25" s="3"/>
      <c r="F25" s="20">
        <f t="shared" si="4"/>
        <v>0.90033678732302291</v>
      </c>
      <c r="G25" s="3"/>
      <c r="H25" s="3"/>
      <c r="I25" s="3"/>
      <c r="J25" s="20">
        <f t="shared" si="5"/>
        <v>0</v>
      </c>
      <c r="K25" s="3"/>
      <c r="L25" s="3">
        <f t="shared" si="6"/>
        <v>49207.61</v>
      </c>
      <c r="M25" s="3"/>
      <c r="N25" s="20">
        <f t="shared" si="7"/>
        <v>0</v>
      </c>
      <c r="O25" s="12"/>
      <c r="P25" s="3">
        <v>1378493.64</v>
      </c>
      <c r="Q25" s="3"/>
      <c r="R25" s="20">
        <f t="shared" si="8"/>
        <v>0.78004032326287676</v>
      </c>
      <c r="S25" s="3"/>
      <c r="T25" s="3"/>
      <c r="U25" s="3"/>
      <c r="V25" s="20">
        <f t="shared" si="9"/>
        <v>0</v>
      </c>
      <c r="W25" s="3"/>
      <c r="X25" s="3">
        <f t="shared" si="10"/>
        <v>1378493.64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","5500"," - ","FREIGHT-IN")</f>
        <v xml:space="preserve">          5500 - FREIGHT-IN</v>
      </c>
      <c r="C26" s="12"/>
      <c r="D26" s="3">
        <v>2564.83</v>
      </c>
      <c r="E26" s="3"/>
      <c r="F26" s="20">
        <f t="shared" si="4"/>
        <v>4.6927920340567419E-2</v>
      </c>
      <c r="G26" s="3"/>
      <c r="H26" s="3"/>
      <c r="I26" s="3"/>
      <c r="J26" s="20">
        <f t="shared" si="5"/>
        <v>0</v>
      </c>
      <c r="K26" s="3"/>
      <c r="L26" s="3">
        <f t="shared" si="6"/>
        <v>2564.83</v>
      </c>
      <c r="M26" s="3"/>
      <c r="N26" s="20">
        <f t="shared" si="7"/>
        <v>0</v>
      </c>
      <c r="O26" s="12"/>
      <c r="P26" s="3">
        <v>79058.62</v>
      </c>
      <c r="Q26" s="3"/>
      <c r="R26" s="20">
        <f t="shared" si="8"/>
        <v>4.473644978261701E-2</v>
      </c>
      <c r="S26" s="3"/>
      <c r="T26" s="3"/>
      <c r="U26" s="3"/>
      <c r="V26" s="20">
        <f t="shared" si="9"/>
        <v>0</v>
      </c>
      <c r="W26" s="3"/>
      <c r="X26" s="3">
        <f t="shared" si="10"/>
        <v>79058.62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5447.0599999999831</v>
      </c>
      <c r="E31" s="15"/>
      <c r="F31" s="23">
        <f>IF(D$12=0,0,D31/D$12)</f>
        <v>9.9663212676976795E-2</v>
      </c>
      <c r="G31" s="15"/>
      <c r="H31" s="21">
        <f>H12-H19</f>
        <v>4899</v>
      </c>
      <c r="I31" s="15"/>
      <c r="J31" s="23">
        <f>IF(H$12=0,0,H31/H$12)</f>
        <v>0.27746941549614862</v>
      </c>
      <c r="K31" s="17"/>
      <c r="L31" s="21">
        <f>+D31-H31</f>
        <v>548.05999999998312</v>
      </c>
      <c r="M31" s="17"/>
      <c r="N31" s="23">
        <f>IF(H31=0,0,L31/H31)</f>
        <v>0.111871810573583</v>
      </c>
      <c r="O31" s="28"/>
      <c r="P31" s="21">
        <f>P12-P19</f>
        <v>388827.73</v>
      </c>
      <c r="Q31" s="15"/>
      <c r="R31" s="23">
        <f>IF(P$12=0,0,P31/P$12)</f>
        <v>0.2200237269159766</v>
      </c>
      <c r="S31" s="15"/>
      <c r="T31" s="21">
        <f>T12-T19</f>
        <v>876898</v>
      </c>
      <c r="U31" s="15"/>
      <c r="V31" s="23">
        <f>IF(T$12=0,0,T31/T$12)</f>
        <v>0.27750042088767424</v>
      </c>
      <c r="W31" s="17"/>
      <c r="X31" s="21">
        <f>+P31-T31</f>
        <v>-488070.27</v>
      </c>
      <c r="Y31" s="17"/>
      <c r="Z31" s="23">
        <f>IF(T31=0,0,X31/T31)</f>
        <v>-0.55658727696949928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50638.14</v>
      </c>
      <c r="E33" s="22"/>
      <c r="F33" s="33">
        <f t="shared" ref="F33:F64" si="12">IF(D$12=0,0,D33/D$12)</f>
        <v>0.92651076294120893</v>
      </c>
      <c r="G33" s="22"/>
      <c r="H33" s="22" cm="1">
        <f t="array" ref="H33">SUM(OSRRefH22x_0)</f>
        <v>54338.975590737202</v>
      </c>
      <c r="I33" s="22"/>
      <c r="J33" s="33">
        <f t="shared" ref="J33:J64" si="13">IF(H$12=0,0,H33/H$12)</f>
        <v>3.0776492745093567</v>
      </c>
      <c r="K33" s="5"/>
      <c r="L33" s="22">
        <f t="shared" ref="L33:L64" si="14">+D33-H33</f>
        <v>-3700.8355907372024</v>
      </c>
      <c r="M33" s="5"/>
      <c r="N33" s="33">
        <f t="shared" ref="N33:N64" si="15">IF(H33=0,0,L33/H33)</f>
        <v>-6.8106465948321246E-2</v>
      </c>
      <c r="O33" s="11"/>
      <c r="P33" s="22" cm="1">
        <f t="array" ref="P33">SUM(OSRRefP22x_0)</f>
        <v>448482.06999999995</v>
      </c>
      <c r="Q33" s="22"/>
      <c r="R33" s="33">
        <f t="shared" ref="R33:R64" si="16">IF(P$12=0,0,P33/P$12)</f>
        <v>0.25377998759602843</v>
      </c>
      <c r="S33" s="22"/>
      <c r="T33" s="22" cm="1">
        <f t="array" ref="T33">SUM(OSRRefT22x_0)</f>
        <v>550197.27320438717</v>
      </c>
      <c r="U33" s="22"/>
      <c r="V33" s="33">
        <f t="shared" ref="V33:V64" si="17">IF(T$12=0,0,T33/T$12)</f>
        <v>0.17411372233197947</v>
      </c>
      <c r="W33" s="5"/>
      <c r="X33" s="22">
        <f t="shared" ref="X33:X64" si="18">+P33-T33</f>
        <v>-101715.20320438722</v>
      </c>
      <c r="Y33" s="5"/>
      <c r="Z33" s="33">
        <f t="shared" ref="Z33:Z64" si="19">IF(T33=0,0,X33/T33)</f>
        <v>-0.18487042404261803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14153.779999999999</v>
      </c>
      <c r="E34" s="2"/>
      <c r="F34" s="6">
        <f t="shared" si="12"/>
        <v>0.2589674404767241</v>
      </c>
      <c r="G34" s="2"/>
      <c r="H34" s="2">
        <f>SUM(OSRRefH22_0x_0)</f>
        <v>15572.661159169898</v>
      </c>
      <c r="I34" s="2"/>
      <c r="J34" s="6">
        <f t="shared" si="13"/>
        <v>0.88200391703499648</v>
      </c>
      <c r="K34" s="2"/>
      <c r="L34" s="2">
        <f t="shared" si="14"/>
        <v>-1418.8811591698995</v>
      </c>
      <c r="M34" s="2"/>
      <c r="N34" s="6">
        <f t="shared" si="15"/>
        <v>-9.1113596107136582E-2</v>
      </c>
      <c r="O34" s="14"/>
      <c r="P34" s="2">
        <f>SUM(OSRRefP22_0x_0)</f>
        <v>106932.53999999998</v>
      </c>
      <c r="Q34" s="2"/>
      <c r="R34" s="6">
        <f t="shared" si="16"/>
        <v>6.0509305700474969E-2</v>
      </c>
      <c r="S34" s="2"/>
      <c r="T34" s="2">
        <f>SUM(OSRRefT22_0x_0)</f>
        <v>147813.96420659518</v>
      </c>
      <c r="U34" s="2"/>
      <c r="V34" s="6">
        <f t="shared" si="17"/>
        <v>4.677674858467664E-2</v>
      </c>
      <c r="W34" s="2"/>
      <c r="X34" s="2">
        <f t="shared" si="18"/>
        <v>-40881.424206595198</v>
      </c>
      <c r="Y34" s="2"/>
      <c r="Z34" s="6">
        <f t="shared" si="19"/>
        <v>-0.27657349172677925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2400.81</v>
      </c>
      <c r="E35" s="3"/>
      <c r="F35" s="8">
        <f t="shared" si="12"/>
        <v>4.3926895908437465E-2</v>
      </c>
      <c r="G35" s="3"/>
      <c r="H35" s="7">
        <v>2459.7806274747099</v>
      </c>
      <c r="I35" s="3"/>
      <c r="J35" s="8">
        <f t="shared" si="13"/>
        <v>0.13931698161954634</v>
      </c>
      <c r="K35" s="3"/>
      <c r="L35" s="7">
        <f t="shared" si="14"/>
        <v>-58.97062747471</v>
      </c>
      <c r="M35" s="3"/>
      <c r="N35" s="8">
        <f t="shared" si="15"/>
        <v>-2.3973937682097751E-2</v>
      </c>
      <c r="O35" s="12"/>
      <c r="P35" s="7">
        <v>21882.080000000002</v>
      </c>
      <c r="Q35" s="3"/>
      <c r="R35" s="8">
        <f t="shared" si="16"/>
        <v>1.2382287637441789E-2</v>
      </c>
      <c r="S35" s="3"/>
      <c r="T35" s="7">
        <v>23654.695034277502</v>
      </c>
      <c r="U35" s="3"/>
      <c r="V35" s="8">
        <f t="shared" si="17"/>
        <v>7.4856914122071036E-3</v>
      </c>
      <c r="W35" s="3"/>
      <c r="X35" s="7">
        <f t="shared" si="18"/>
        <v>-1772.6150342774999</v>
      </c>
      <c r="Y35" s="3"/>
      <c r="Z35" s="8">
        <f t="shared" si="19"/>
        <v>-7.4937133271379838E-2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295.63</v>
      </c>
      <c r="E36" s="3"/>
      <c r="F36" s="8">
        <f t="shared" si="12"/>
        <v>5.4090528769087801E-3</v>
      </c>
      <c r="G36" s="3"/>
      <c r="H36" s="7">
        <v>567.83767035000005</v>
      </c>
      <c r="I36" s="3"/>
      <c r="J36" s="8">
        <f t="shared" si="13"/>
        <v>3.2161172992183962E-2</v>
      </c>
      <c r="K36" s="3"/>
      <c r="L36" s="7">
        <f t="shared" si="14"/>
        <v>-272.20767035000006</v>
      </c>
      <c r="M36" s="3"/>
      <c r="N36" s="8">
        <f t="shared" si="15"/>
        <v>-0.47937585786131182</v>
      </c>
      <c r="O36" s="12"/>
      <c r="P36" s="7">
        <v>4061.6</v>
      </c>
      <c r="Q36" s="3"/>
      <c r="R36" s="8">
        <f t="shared" si="16"/>
        <v>2.2983143955343172E-3</v>
      </c>
      <c r="S36" s="3"/>
      <c r="T36" s="7">
        <v>5846.6058742799996</v>
      </c>
      <c r="U36" s="3"/>
      <c r="V36" s="8">
        <f t="shared" si="17"/>
        <v>1.8501987584383232E-3</v>
      </c>
      <c r="W36" s="3"/>
      <c r="X36" s="7">
        <f t="shared" si="18"/>
        <v>-1785.0058742799997</v>
      </c>
      <c r="Y36" s="3"/>
      <c r="Z36" s="8">
        <f t="shared" si="19"/>
        <v>-0.3053063457094789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4253.97</v>
      </c>
      <c r="E37" s="3"/>
      <c r="F37" s="8">
        <f t="shared" si="12"/>
        <v>7.7833605069795503E-2</v>
      </c>
      <c r="G37" s="3"/>
      <c r="H37" s="7">
        <v>5620</v>
      </c>
      <c r="I37" s="3"/>
      <c r="J37" s="8">
        <f t="shared" si="13"/>
        <v>0.31830539193475305</v>
      </c>
      <c r="K37" s="3"/>
      <c r="L37" s="7">
        <f t="shared" si="14"/>
        <v>-1366.0299999999997</v>
      </c>
      <c r="M37" s="3"/>
      <c r="N37" s="8">
        <f t="shared" si="15"/>
        <v>-0.24306583629893233</v>
      </c>
      <c r="O37" s="12"/>
      <c r="P37" s="7">
        <v>43597.69</v>
      </c>
      <c r="Q37" s="3"/>
      <c r="R37" s="8">
        <f t="shared" si="16"/>
        <v>2.4670375846721132E-2</v>
      </c>
      <c r="S37" s="3"/>
      <c r="T37" s="7">
        <v>54364</v>
      </c>
      <c r="U37" s="3"/>
      <c r="V37" s="8">
        <f t="shared" si="17"/>
        <v>1.7203862799478987E-2</v>
      </c>
      <c r="W37" s="3"/>
      <c r="X37" s="7">
        <f t="shared" si="18"/>
        <v>-10766.309999999998</v>
      </c>
      <c r="Y37" s="3"/>
      <c r="Z37" s="8">
        <f t="shared" si="19"/>
        <v>-0.19804116694871601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58.32</v>
      </c>
      <c r="E38" s="3"/>
      <c r="F38" s="8">
        <f t="shared" si="12"/>
        <v>1.0670634366651561E-3</v>
      </c>
      <c r="G38" s="3"/>
      <c r="H38" s="7">
        <v>76.439686393269199</v>
      </c>
      <c r="I38" s="3"/>
      <c r="J38" s="8">
        <f t="shared" si="13"/>
        <v>4.3293886720247622E-3</v>
      </c>
      <c r="K38" s="3"/>
      <c r="L38" s="7">
        <f t="shared" si="14"/>
        <v>-18.119686393269198</v>
      </c>
      <c r="M38" s="3"/>
      <c r="N38" s="8">
        <f t="shared" si="15"/>
        <v>-0.23704553548331544</v>
      </c>
      <c r="O38" s="12"/>
      <c r="P38" s="7">
        <v>805.62</v>
      </c>
      <c r="Q38" s="3"/>
      <c r="R38" s="8">
        <f t="shared" si="16"/>
        <v>4.5587158837166552E-4</v>
      </c>
      <c r="S38" s="3"/>
      <c r="T38" s="7">
        <v>787.04309846076899</v>
      </c>
      <c r="U38" s="3"/>
      <c r="V38" s="8">
        <f t="shared" si="17"/>
        <v>2.4906521748208191E-4</v>
      </c>
      <c r="W38" s="3"/>
      <c r="X38" s="7">
        <f t="shared" si="18"/>
        <v>18.576901539231017</v>
      </c>
      <c r="Y38" s="3"/>
      <c r="Z38" s="8">
        <f t="shared" si="19"/>
        <v>2.3603410760556973E-2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2109.5500000000002</v>
      </c>
      <c r="E39" s="3"/>
      <c r="F39" s="8">
        <f t="shared" si="12"/>
        <v>3.8597799602485938E-2</v>
      </c>
      <c r="G39" s="3"/>
      <c r="H39" s="7">
        <v>2080.8534770576898</v>
      </c>
      <c r="I39" s="3"/>
      <c r="J39" s="8">
        <f t="shared" si="13"/>
        <v>0.11785531700598606</v>
      </c>
      <c r="K39" s="3"/>
      <c r="L39" s="7">
        <f t="shared" si="14"/>
        <v>28.696522942310366</v>
      </c>
      <c r="M39" s="3"/>
      <c r="N39" s="8">
        <f t="shared" si="15"/>
        <v>1.3790746565628936E-2</v>
      </c>
      <c r="O39" s="12"/>
      <c r="P39" s="7">
        <v>18955.59</v>
      </c>
      <c r="Q39" s="3"/>
      <c r="R39" s="8">
        <f t="shared" si="16"/>
        <v>1.072629145480755E-2</v>
      </c>
      <c r="S39" s="3"/>
      <c r="T39" s="7">
        <v>18311.510598107699</v>
      </c>
      <c r="U39" s="3"/>
      <c r="V39" s="8">
        <f t="shared" si="17"/>
        <v>5.7948038404284129E-3</v>
      </c>
      <c r="W39" s="3"/>
      <c r="X39" s="7">
        <f t="shared" si="18"/>
        <v>644.07940189230067</v>
      </c>
      <c r="Y39" s="3"/>
      <c r="Z39" s="8">
        <f t="shared" si="19"/>
        <v>3.5173471813890626E-2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258.64999999999998</v>
      </c>
      <c r="E41" s="3"/>
      <c r="F41" s="8">
        <f t="shared" si="12"/>
        <v>4.732440978968494E-3</v>
      </c>
      <c r="G41" s="3"/>
      <c r="H41" s="7"/>
      <c r="I41" s="3"/>
      <c r="J41" s="8">
        <f t="shared" si="13"/>
        <v>0</v>
      </c>
      <c r="K41" s="3"/>
      <c r="L41" s="7">
        <f t="shared" si="14"/>
        <v>258.64999999999998</v>
      </c>
      <c r="M41" s="3"/>
      <c r="N41" s="8">
        <f t="shared" si="15"/>
        <v>0</v>
      </c>
      <c r="O41" s="12"/>
      <c r="P41" s="7">
        <v>3215.36</v>
      </c>
      <c r="Q41" s="3"/>
      <c r="R41" s="8">
        <f t="shared" si="16"/>
        <v>1.8194573997501531E-3</v>
      </c>
      <c r="S41" s="3"/>
      <c r="T41" s="7"/>
      <c r="U41" s="3"/>
      <c r="V41" s="8">
        <f t="shared" si="17"/>
        <v>0</v>
      </c>
      <c r="W41" s="3"/>
      <c r="X41" s="7">
        <f t="shared" si="18"/>
        <v>3215.36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2277.9</v>
      </c>
      <c r="E42" s="3"/>
      <c r="F42" s="8">
        <f t="shared" si="12"/>
        <v>4.1678048737646758E-2</v>
      </c>
      <c r="G42" s="3"/>
      <c r="H42" s="7">
        <v>2111.4919273750002</v>
      </c>
      <c r="I42" s="3"/>
      <c r="J42" s="8">
        <f t="shared" si="13"/>
        <v>0.11959061663881967</v>
      </c>
      <c r="K42" s="3"/>
      <c r="L42" s="7">
        <f t="shared" si="14"/>
        <v>166.40807262499993</v>
      </c>
      <c r="M42" s="3"/>
      <c r="N42" s="8">
        <f t="shared" si="15"/>
        <v>7.8810660115512687E-2</v>
      </c>
      <c r="O42" s="12"/>
      <c r="P42" s="7">
        <v>19283.98</v>
      </c>
      <c r="Q42" s="3"/>
      <c r="R42" s="8">
        <f t="shared" si="16"/>
        <v>1.0912115628618244E-2</v>
      </c>
      <c r="S42" s="3"/>
      <c r="T42" s="7">
        <v>18581.128960900001</v>
      </c>
      <c r="U42" s="3"/>
      <c r="V42" s="8">
        <f t="shared" si="17"/>
        <v>5.8801264311446758E-3</v>
      </c>
      <c r="W42" s="3"/>
      <c r="X42" s="7">
        <f t="shared" si="18"/>
        <v>702.85103909999816</v>
      </c>
      <c r="Y42" s="3"/>
      <c r="Z42" s="8">
        <f t="shared" si="19"/>
        <v>3.7826067542989304E-2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1427.27</v>
      </c>
      <c r="E43" s="3"/>
      <c r="F43" s="8">
        <f t="shared" si="12"/>
        <v>2.6114328382185824E-2</v>
      </c>
      <c r="G43" s="3"/>
      <c r="H43" s="7">
        <v>1606.25777051923</v>
      </c>
      <c r="I43" s="3"/>
      <c r="J43" s="8">
        <f t="shared" si="13"/>
        <v>9.097517957177334E-2</v>
      </c>
      <c r="K43" s="3"/>
      <c r="L43" s="7">
        <f t="shared" si="14"/>
        <v>-178.98777051923003</v>
      </c>
      <c r="M43" s="3"/>
      <c r="N43" s="8">
        <f t="shared" si="15"/>
        <v>-0.11143153596161058</v>
      </c>
      <c r="O43" s="12"/>
      <c r="P43" s="7">
        <v>-13902.82</v>
      </c>
      <c r="Q43" s="3"/>
      <c r="R43" s="8">
        <f t="shared" si="16"/>
        <v>-7.8671093521081384E-3</v>
      </c>
      <c r="S43" s="3"/>
      <c r="T43" s="7">
        <v>15768.9806405692</v>
      </c>
      <c r="U43" s="3"/>
      <c r="V43" s="8">
        <f t="shared" si="17"/>
        <v>4.990202697152394E-3</v>
      </c>
      <c r="W43" s="3"/>
      <c r="X43" s="7">
        <f t="shared" si="18"/>
        <v>-29671.800640569199</v>
      </c>
      <c r="Y43" s="3"/>
      <c r="Z43" s="8">
        <f t="shared" si="19"/>
        <v>-1.8816562285726899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1071.68</v>
      </c>
      <c r="E44" s="3"/>
      <c r="F44" s="8">
        <f t="shared" si="12"/>
        <v>1.9608205483630219E-2</v>
      </c>
      <c r="G44" s="3"/>
      <c r="H44" s="7">
        <v>1050</v>
      </c>
      <c r="I44" s="3"/>
      <c r="J44" s="8">
        <f t="shared" si="13"/>
        <v>5.9469868599909381E-2</v>
      </c>
      <c r="K44" s="3"/>
      <c r="L44" s="7">
        <f t="shared" si="14"/>
        <v>21.680000000000064</v>
      </c>
      <c r="M44" s="3"/>
      <c r="N44" s="8">
        <f t="shared" si="15"/>
        <v>2.0647619047619109E-2</v>
      </c>
      <c r="O44" s="12"/>
      <c r="P44" s="7">
        <v>9033.44</v>
      </c>
      <c r="Q44" s="3"/>
      <c r="R44" s="8">
        <f t="shared" si="16"/>
        <v>5.1117011013382717E-3</v>
      </c>
      <c r="S44" s="3"/>
      <c r="T44" s="7">
        <v>10500</v>
      </c>
      <c r="U44" s="3"/>
      <c r="V44" s="8">
        <f t="shared" si="17"/>
        <v>3.3227974283446646E-3</v>
      </c>
      <c r="W44" s="3"/>
      <c r="X44" s="7">
        <f t="shared" si="18"/>
        <v>-1466.5599999999995</v>
      </c>
      <c r="Y44" s="3"/>
      <c r="Z44" s="8">
        <f t="shared" si="19"/>
        <v>-0.13967238095238091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25386.38</v>
      </c>
      <c r="E45" s="2"/>
      <c r="F45" s="6">
        <f t="shared" si="12"/>
        <v>0.464486932223724</v>
      </c>
      <c r="G45" s="2"/>
      <c r="H45" s="2">
        <f>SUM(OSRRefH22_1x_0)</f>
        <v>33286.314431567298</v>
      </c>
      <c r="I45" s="2"/>
      <c r="J45" s="6">
        <f t="shared" si="13"/>
        <v>1.8852692813529282</v>
      </c>
      <c r="K45" s="2"/>
      <c r="L45" s="2">
        <f t="shared" si="14"/>
        <v>-7899.934431567297</v>
      </c>
      <c r="M45" s="2"/>
      <c r="N45" s="6">
        <f t="shared" si="15"/>
        <v>-0.23733280678486116</v>
      </c>
      <c r="O45" s="14"/>
      <c r="P45" s="2">
        <f>SUM(OSRRefP22_1x_0)</f>
        <v>295270.24</v>
      </c>
      <c r="Q45" s="2"/>
      <c r="R45" s="6">
        <f t="shared" si="16"/>
        <v>0.16708288437189106</v>
      </c>
      <c r="S45" s="2"/>
      <c r="T45" s="2">
        <f>SUM(OSRRefT22_1x_0)</f>
        <v>347383.30899779202</v>
      </c>
      <c r="U45" s="2"/>
      <c r="V45" s="6">
        <f t="shared" si="17"/>
        <v>0.10993184436073555</v>
      </c>
      <c r="W45" s="2"/>
      <c r="X45" s="2">
        <f t="shared" si="18"/>
        <v>-52113.068997792026</v>
      </c>
      <c r="Y45" s="2"/>
      <c r="Z45" s="6">
        <f t="shared" si="19"/>
        <v>-0.15001604178433126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19061.86</v>
      </c>
      <c r="E47" s="3"/>
      <c r="F47" s="8">
        <f t="shared" si="12"/>
        <v>0.34876909877966517</v>
      </c>
      <c r="G47" s="3"/>
      <c r="H47" s="7">
        <v>21617.1259715673</v>
      </c>
      <c r="I47" s="3"/>
      <c r="J47" s="8">
        <f t="shared" si="13"/>
        <v>1.2243501343207579</v>
      </c>
      <c r="K47" s="3"/>
      <c r="L47" s="7">
        <f t="shared" si="14"/>
        <v>-2555.2659715672999</v>
      </c>
      <c r="M47" s="3"/>
      <c r="N47" s="8">
        <f t="shared" si="15"/>
        <v>-0.1182056289503149</v>
      </c>
      <c r="O47" s="12"/>
      <c r="P47" s="7">
        <v>189059.20000000001</v>
      </c>
      <c r="Q47" s="3"/>
      <c r="R47" s="8">
        <f t="shared" si="16"/>
        <v>0.1069818497558109</v>
      </c>
      <c r="S47" s="3"/>
      <c r="T47" s="7">
        <v>190230.70854979201</v>
      </c>
      <c r="U47" s="3"/>
      <c r="V47" s="8">
        <f t="shared" si="17"/>
        <v>6.0199819920136406E-2</v>
      </c>
      <c r="W47" s="3"/>
      <c r="X47" s="7">
        <f t="shared" si="18"/>
        <v>-1171.5085497919936</v>
      </c>
      <c r="Y47" s="3"/>
      <c r="Z47" s="8">
        <f t="shared" si="19"/>
        <v>-6.1583566539960433E-3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6483.84</v>
      </c>
      <c r="E49" s="3"/>
      <c r="F49" s="8">
        <f t="shared" si="12"/>
        <v>0.11863286339483892</v>
      </c>
      <c r="G49" s="3"/>
      <c r="H49" s="7">
        <v>7410.7284600000003</v>
      </c>
      <c r="I49" s="3"/>
      <c r="J49" s="8">
        <f t="shared" si="13"/>
        <v>0.41972861690077029</v>
      </c>
      <c r="K49" s="3"/>
      <c r="L49" s="7">
        <f t="shared" si="14"/>
        <v>-926.88846000000012</v>
      </c>
      <c r="M49" s="3"/>
      <c r="N49" s="8">
        <f t="shared" si="15"/>
        <v>-0.12507386622016375</v>
      </c>
      <c r="O49" s="12"/>
      <c r="P49" s="7">
        <v>61835.519999999997</v>
      </c>
      <c r="Q49" s="3"/>
      <c r="R49" s="8">
        <f t="shared" si="16"/>
        <v>3.4990512549574103E-2</v>
      </c>
      <c r="S49" s="3"/>
      <c r="T49" s="7">
        <v>65214.410448000002</v>
      </c>
      <c r="U49" s="3"/>
      <c r="V49" s="8">
        <f t="shared" si="17"/>
        <v>2.0637550031202653E-2</v>
      </c>
      <c r="W49" s="3"/>
      <c r="X49" s="7">
        <f t="shared" si="18"/>
        <v>-3378.8904480000056</v>
      </c>
      <c r="Y49" s="3"/>
      <c r="Z49" s="8">
        <f t="shared" si="19"/>
        <v>-5.1812021680303778E-2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/>
      <c r="E50" s="3"/>
      <c r="F50" s="8">
        <f t="shared" si="12"/>
        <v>0</v>
      </c>
      <c r="G50" s="3"/>
      <c r="H50" s="7">
        <v>2396.66</v>
      </c>
      <c r="I50" s="3"/>
      <c r="J50" s="8">
        <f t="shared" si="13"/>
        <v>0.13574195740824649</v>
      </c>
      <c r="K50" s="3"/>
      <c r="L50" s="7">
        <f t="shared" si="14"/>
        <v>-2396.66</v>
      </c>
      <c r="M50" s="3"/>
      <c r="N50" s="8">
        <f t="shared" si="15"/>
        <v>-1</v>
      </c>
      <c r="O50" s="12"/>
      <c r="P50" s="7">
        <v>14698.31</v>
      </c>
      <c r="Q50" s="3"/>
      <c r="R50" s="8">
        <f t="shared" si="16"/>
        <v>8.3172487352338991E-3</v>
      </c>
      <c r="S50" s="3"/>
      <c r="T50" s="7">
        <v>31379</v>
      </c>
      <c r="U50" s="3"/>
      <c r="V50" s="8">
        <f t="shared" si="17"/>
        <v>9.9301010003835458E-3</v>
      </c>
      <c r="W50" s="3"/>
      <c r="X50" s="7">
        <f t="shared" si="18"/>
        <v>-16680.690000000002</v>
      </c>
      <c r="Y50" s="3"/>
      <c r="Z50" s="8">
        <f t="shared" si="19"/>
        <v>-0.53158768603205975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-159.32</v>
      </c>
      <c r="E52" s="3"/>
      <c r="F52" s="8">
        <f t="shared" si="12"/>
        <v>-2.9150299507800523E-3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-159.32</v>
      </c>
      <c r="M52" s="3"/>
      <c r="N52" s="8">
        <f t="shared" si="15"/>
        <v>0</v>
      </c>
      <c r="O52" s="12"/>
      <c r="P52" s="7">
        <v>25710.73</v>
      </c>
      <c r="Q52" s="3"/>
      <c r="R52" s="8">
        <f t="shared" si="16"/>
        <v>1.4548783946891873E-2</v>
      </c>
      <c r="S52" s="3"/>
      <c r="T52" s="7">
        <v>26246.25</v>
      </c>
      <c r="U52" s="3"/>
      <c r="V52" s="8">
        <f t="shared" si="17"/>
        <v>8.3058068574943956E-3</v>
      </c>
      <c r="W52" s="3"/>
      <c r="X52" s="7">
        <f t="shared" si="18"/>
        <v>-535.52000000000044</v>
      </c>
      <c r="Y52" s="3"/>
      <c r="Z52" s="8">
        <f t="shared" si="19"/>
        <v>-2.0403676715721311E-2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1861.8</v>
      </c>
      <c r="I53" s="3"/>
      <c r="J53" s="8">
        <f t="shared" si="13"/>
        <v>0.1054485727231536</v>
      </c>
      <c r="K53" s="3"/>
      <c r="L53" s="7">
        <f t="shared" si="14"/>
        <v>-1861.8</v>
      </c>
      <c r="M53" s="3"/>
      <c r="N53" s="8">
        <f t="shared" si="15"/>
        <v>-1</v>
      </c>
      <c r="O53" s="12"/>
      <c r="P53" s="7">
        <v>3966.48</v>
      </c>
      <c r="Q53" s="3"/>
      <c r="R53" s="8">
        <f t="shared" si="16"/>
        <v>2.2444893843802834E-3</v>
      </c>
      <c r="S53" s="3"/>
      <c r="T53" s="7">
        <v>34312.94</v>
      </c>
      <c r="U53" s="3"/>
      <c r="V53" s="8">
        <f t="shared" si="17"/>
        <v>1.0858566551518551E-2</v>
      </c>
      <c r="W53" s="3"/>
      <c r="X53" s="7">
        <f t="shared" si="18"/>
        <v>-30346.460000000003</v>
      </c>
      <c r="Y53" s="3"/>
      <c r="Z53" s="8">
        <f t="shared" si="19"/>
        <v>-0.88440279381481157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97.81</v>
      </c>
      <c r="E56" s="2"/>
      <c r="F56" s="6">
        <f t="shared" si="12"/>
        <v>1.7896000469859209E-3</v>
      </c>
      <c r="G56" s="2"/>
      <c r="H56" s="2">
        <f>SUM(OSRRefH22_2x_0)</f>
        <v>100</v>
      </c>
      <c r="I56" s="2"/>
      <c r="J56" s="6">
        <f t="shared" si="13"/>
        <v>5.6637970095151794E-3</v>
      </c>
      <c r="K56" s="2"/>
      <c r="L56" s="2">
        <f t="shared" si="14"/>
        <v>-2.1899999999999977</v>
      </c>
      <c r="M56" s="2"/>
      <c r="N56" s="6">
        <f t="shared" si="15"/>
        <v>-2.1899999999999979E-2</v>
      </c>
      <c r="O56" s="14"/>
      <c r="P56" s="2">
        <f>SUM(OSRRefP22_2x_0)</f>
        <v>935.6</v>
      </c>
      <c r="Q56" s="2"/>
      <c r="R56" s="6">
        <f t="shared" si="16"/>
        <v>5.2942262863450544E-4</v>
      </c>
      <c r="S56" s="2"/>
      <c r="T56" s="2">
        <f>SUM(OSRRefT22_2x_0)</f>
        <v>3000</v>
      </c>
      <c r="U56" s="2"/>
      <c r="V56" s="6">
        <f t="shared" si="17"/>
        <v>9.4937069381276131E-4</v>
      </c>
      <c r="W56" s="2"/>
      <c r="X56" s="2">
        <f t="shared" si="18"/>
        <v>-2064.4</v>
      </c>
      <c r="Y56" s="2"/>
      <c r="Z56" s="6">
        <f t="shared" si="19"/>
        <v>-0.68813333333333337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>
        <v>97.81</v>
      </c>
      <c r="E57" s="3"/>
      <c r="F57" s="8">
        <f t="shared" si="12"/>
        <v>1.7896000469859209E-3</v>
      </c>
      <c r="G57" s="3"/>
      <c r="H57" s="7">
        <v>100</v>
      </c>
      <c r="I57" s="3"/>
      <c r="J57" s="8">
        <f t="shared" si="13"/>
        <v>5.6637970095151794E-3</v>
      </c>
      <c r="K57" s="3"/>
      <c r="L57" s="7">
        <f t="shared" si="14"/>
        <v>-2.1899999999999977</v>
      </c>
      <c r="M57" s="3"/>
      <c r="N57" s="8">
        <f t="shared" si="15"/>
        <v>-2.1899999999999979E-2</v>
      </c>
      <c r="O57" s="12"/>
      <c r="P57" s="7">
        <v>935.6</v>
      </c>
      <c r="Q57" s="3"/>
      <c r="R57" s="8">
        <f t="shared" si="16"/>
        <v>5.2942262863450544E-4</v>
      </c>
      <c r="S57" s="3"/>
      <c r="T57" s="7">
        <v>3000</v>
      </c>
      <c r="U57" s="3"/>
      <c r="V57" s="8">
        <f t="shared" si="17"/>
        <v>9.4937069381276131E-4</v>
      </c>
      <c r="W57" s="3"/>
      <c r="X57" s="7">
        <f t="shared" si="18"/>
        <v>-2064.4</v>
      </c>
      <c r="Y57" s="3"/>
      <c r="Z57" s="8">
        <f t="shared" si="19"/>
        <v>-0.68813333333333337</v>
      </c>
    </row>
    <row r="58" spans="1:26" s="69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7.6391678992794177E-7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7"/>
      <c r="E59" s="3"/>
      <c r="F59" s="8">
        <f t="shared" si="12"/>
        <v>0</v>
      </c>
      <c r="G59" s="3"/>
      <c r="H59" s="7"/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>
        <v>1.35</v>
      </c>
      <c r="Q59" s="3"/>
      <c r="R59" s="8">
        <f t="shared" si="16"/>
        <v>7.6391678992794177E-7</v>
      </c>
      <c r="S59" s="3"/>
      <c r="T59" s="7"/>
      <c r="U59" s="3"/>
      <c r="V59" s="8">
        <f t="shared" si="17"/>
        <v>0</v>
      </c>
      <c r="W59" s="3"/>
      <c r="X59" s="7">
        <f t="shared" si="18"/>
        <v>1.35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2.8318985047575897E-3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500</v>
      </c>
      <c r="U60" s="2"/>
      <c r="V60" s="6">
        <f t="shared" si="17"/>
        <v>1.5822844896879354E-4</v>
      </c>
      <c r="W60" s="2"/>
      <c r="X60" s="2">
        <f t="shared" si="18"/>
        <v>-500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50</v>
      </c>
      <c r="I61" s="3"/>
      <c r="J61" s="8">
        <f t="shared" si="13"/>
        <v>2.8318985047575897E-3</v>
      </c>
      <c r="K61" s="3"/>
      <c r="L61" s="7">
        <f t="shared" si="14"/>
        <v>-50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500</v>
      </c>
      <c r="U61" s="3"/>
      <c r="V61" s="8">
        <f t="shared" si="17"/>
        <v>1.5822844896879354E-4</v>
      </c>
      <c r="W61" s="3"/>
      <c r="X61" s="7">
        <f t="shared" si="18"/>
        <v>-500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1.669756674040846E-3</v>
      </c>
      <c r="G62" s="2"/>
      <c r="H62" s="2">
        <f>SUM(OSRRefH22_5x_0)</f>
        <v>100</v>
      </c>
      <c r="I62" s="2"/>
      <c r="J62" s="6">
        <f t="shared" si="13"/>
        <v>5.6637970095151794E-3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912.6</v>
      </c>
      <c r="Q62" s="2"/>
      <c r="R62" s="6">
        <f t="shared" si="16"/>
        <v>5.1640774999128867E-4</v>
      </c>
      <c r="S62" s="2"/>
      <c r="T62" s="2">
        <f>SUM(OSRRefT22_5x_0)</f>
        <v>1000</v>
      </c>
      <c r="U62" s="2"/>
      <c r="V62" s="6">
        <f t="shared" si="17"/>
        <v>3.1645689793758709E-4</v>
      </c>
      <c r="W62" s="2"/>
      <c r="X62" s="2">
        <f t="shared" si="18"/>
        <v>-87.399999999999977</v>
      </c>
      <c r="Y62" s="2"/>
      <c r="Z62" s="6">
        <f t="shared" si="19"/>
        <v>-8.7399999999999978E-2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7">
        <v>91.26</v>
      </c>
      <c r="E63" s="3"/>
      <c r="F63" s="8">
        <f t="shared" si="12"/>
        <v>1.669756674040846E-3</v>
      </c>
      <c r="G63" s="3"/>
      <c r="H63" s="7">
        <v>100</v>
      </c>
      <c r="I63" s="3"/>
      <c r="J63" s="8">
        <f t="shared" si="13"/>
        <v>5.6637970095151794E-3</v>
      </c>
      <c r="K63" s="3"/>
      <c r="L63" s="7">
        <f t="shared" si="14"/>
        <v>-8.7399999999999949</v>
      </c>
      <c r="M63" s="3"/>
      <c r="N63" s="8">
        <f t="shared" si="15"/>
        <v>-8.739999999999995E-2</v>
      </c>
      <c r="O63" s="12"/>
      <c r="P63" s="7">
        <v>912.6</v>
      </c>
      <c r="Q63" s="3"/>
      <c r="R63" s="8">
        <f t="shared" si="16"/>
        <v>5.1640774999128867E-4</v>
      </c>
      <c r="S63" s="3"/>
      <c r="T63" s="7">
        <v>1000</v>
      </c>
      <c r="U63" s="3"/>
      <c r="V63" s="8">
        <f t="shared" si="17"/>
        <v>3.1645689793758709E-4</v>
      </c>
      <c r="W63" s="3"/>
      <c r="X63" s="7">
        <f t="shared" si="18"/>
        <v>-87.399999999999977</v>
      </c>
      <c r="Y63" s="3"/>
      <c r="Z63" s="8">
        <f t="shared" si="19"/>
        <v>-8.7399999999999978E-2</v>
      </c>
    </row>
    <row r="64" spans="1:26" s="69" customFormat="1" ht="15" customHeight="1" outlineLevel="1" collapsed="1" x14ac:dyDescent="0.3">
      <c r="A64" s="25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6768.61</v>
      </c>
      <c r="E64" s="2"/>
      <c r="F64" s="6">
        <f t="shared" si="12"/>
        <v>0.12384321412973494</v>
      </c>
      <c r="G64" s="2"/>
      <c r="H64" s="2">
        <f>SUM(OSRRefH22_6x_0)</f>
        <v>2300</v>
      </c>
      <c r="I64" s="2"/>
      <c r="J64" s="6">
        <f t="shared" si="13"/>
        <v>0.13026733121884912</v>
      </c>
      <c r="K64" s="2"/>
      <c r="L64" s="2">
        <f t="shared" si="14"/>
        <v>4468.6099999999997</v>
      </c>
      <c r="M64" s="2"/>
      <c r="N64" s="6">
        <f t="shared" si="15"/>
        <v>1.9428739130434782</v>
      </c>
      <c r="O64" s="14"/>
      <c r="P64" s="2">
        <f>SUM(OSRRefP22_6x_0)</f>
        <v>12391.78</v>
      </c>
      <c r="Q64" s="2"/>
      <c r="R64" s="6">
        <f t="shared" si="16"/>
        <v>7.0120657771061265E-3</v>
      </c>
      <c r="S64" s="2"/>
      <c r="T64" s="2">
        <f>SUM(OSRRefT22_6x_0)</f>
        <v>16000</v>
      </c>
      <c r="U64" s="2"/>
      <c r="V64" s="6">
        <f t="shared" si="17"/>
        <v>5.0633103670013934E-3</v>
      </c>
      <c r="W64" s="2"/>
      <c r="X64" s="2">
        <f t="shared" si="18"/>
        <v>-3608.2199999999993</v>
      </c>
      <c r="Y64" s="2"/>
      <c r="Z64" s="6">
        <f t="shared" si="19"/>
        <v>-0.22551374999999996</v>
      </c>
    </row>
    <row r="65" spans="1:26" s="70" customFormat="1" ht="15" hidden="1" customHeight="1" outlineLevel="2" x14ac:dyDescent="0.3">
      <c r="A65" s="26"/>
      <c r="B65" s="12" t="str">
        <f>CONCATENATE("          ","6305"," - ","FREIGHT OUT")</f>
        <v xml:space="preserve">          6305 - FREIGHT OUT</v>
      </c>
      <c r="C65" s="12"/>
      <c r="D65" s="7">
        <v>6768.61</v>
      </c>
      <c r="E65" s="3"/>
      <c r="F65" s="8">
        <f t="shared" ref="F65:F85" si="20">IF(D$12=0,0,D65/D$12)</f>
        <v>0.12384321412973494</v>
      </c>
      <c r="G65" s="3"/>
      <c r="H65" s="7">
        <v>2300</v>
      </c>
      <c r="I65" s="3"/>
      <c r="J65" s="8">
        <f t="shared" ref="J65:J85" si="21">IF(H$12=0,0,H65/H$12)</f>
        <v>0.13026733121884912</v>
      </c>
      <c r="K65" s="3"/>
      <c r="L65" s="7">
        <f t="shared" ref="L65:L85" si="22">+D65-H65</f>
        <v>4468.6099999999997</v>
      </c>
      <c r="M65" s="3"/>
      <c r="N65" s="8">
        <f t="shared" ref="N65:N85" si="23">IF(H65=0,0,L65/H65)</f>
        <v>1.9428739130434782</v>
      </c>
      <c r="O65" s="12"/>
      <c r="P65" s="7">
        <v>12390.19</v>
      </c>
      <c r="Q65" s="3"/>
      <c r="R65" s="8">
        <f t="shared" ref="R65:R85" si="24">IF(P$12=0,0,P65/P$12)</f>
        <v>7.0111660528868773E-3</v>
      </c>
      <c r="S65" s="3"/>
      <c r="T65" s="7">
        <v>16000</v>
      </c>
      <c r="U65" s="3"/>
      <c r="V65" s="8">
        <f t="shared" ref="V65:V85" si="25">IF(T$12=0,0,T65/T$12)</f>
        <v>5.0633103670013934E-3</v>
      </c>
      <c r="W65" s="3"/>
      <c r="X65" s="7">
        <f t="shared" ref="X65:X85" si="26">+P65-T65</f>
        <v>-3609.8099999999995</v>
      </c>
      <c r="Y65" s="3"/>
      <c r="Z65" s="8">
        <f t="shared" ref="Z65:Z85" si="27">IF(T65=0,0,X65/T65)</f>
        <v>-0.22561312499999997</v>
      </c>
    </row>
    <row r="66" spans="1:26" s="70" customFormat="1" ht="15" hidden="1" customHeight="1" outlineLevel="2" x14ac:dyDescent="0.3">
      <c r="A66" s="26"/>
      <c r="B66" s="12" t="str">
        <f>CONCATENATE("          ","6307"," - ","POSTAGE")</f>
        <v xml:space="preserve">          6307 - POSTAGE</v>
      </c>
      <c r="C66" s="12"/>
      <c r="D66" s="7"/>
      <c r="E66" s="3"/>
      <c r="F66" s="8">
        <f t="shared" si="20"/>
        <v>0</v>
      </c>
      <c r="G66" s="3"/>
      <c r="H66" s="7"/>
      <c r="I66" s="3"/>
      <c r="J66" s="8">
        <f t="shared" si="21"/>
        <v>0</v>
      </c>
      <c r="K66" s="3"/>
      <c r="L66" s="7">
        <f t="shared" si="22"/>
        <v>0</v>
      </c>
      <c r="M66" s="3"/>
      <c r="N66" s="8">
        <f t="shared" si="23"/>
        <v>0</v>
      </c>
      <c r="O66" s="12"/>
      <c r="P66" s="7">
        <v>1.59</v>
      </c>
      <c r="Q66" s="3"/>
      <c r="R66" s="8">
        <f t="shared" si="24"/>
        <v>8.9972421924846474E-7</v>
      </c>
      <c r="S66" s="3"/>
      <c r="T66" s="7"/>
      <c r="U66" s="3"/>
      <c r="V66" s="8">
        <f t="shared" si="25"/>
        <v>0</v>
      </c>
      <c r="W66" s="3"/>
      <c r="X66" s="7">
        <f t="shared" si="26"/>
        <v>1.59</v>
      </c>
      <c r="Y66" s="3"/>
      <c r="Z66" s="8">
        <f t="shared" si="27"/>
        <v>0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500</v>
      </c>
      <c r="I67" s="2"/>
      <c r="J67" s="6">
        <f t="shared" si="21"/>
        <v>2.8318985047575896E-2</v>
      </c>
      <c r="K67" s="2"/>
      <c r="L67" s="2">
        <f t="shared" si="22"/>
        <v>-500</v>
      </c>
      <c r="M67" s="2"/>
      <c r="N67" s="6">
        <f t="shared" si="23"/>
        <v>-1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2000</v>
      </c>
      <c r="U67" s="2"/>
      <c r="V67" s="6">
        <f t="shared" si="25"/>
        <v>6.3291379587517417E-4</v>
      </c>
      <c r="W67" s="2"/>
      <c r="X67" s="2">
        <f t="shared" si="26"/>
        <v>-2000</v>
      </c>
      <c r="Y67" s="2"/>
      <c r="Z67" s="6">
        <f t="shared" si="27"/>
        <v>-1</v>
      </c>
    </row>
    <row r="68" spans="1:26" s="70" customFormat="1" ht="15" hidden="1" customHeight="1" outlineLevel="2" x14ac:dyDescent="0.3">
      <c r="A68" s="26"/>
      <c r="B68" s="12" t="str">
        <f>CONCATENATE("          ","6279"," - ","GENERAL EXPENSE")</f>
        <v xml:space="preserve">          6279 - GENERAL EXPENSE</v>
      </c>
      <c r="C68" s="12"/>
      <c r="D68" s="7"/>
      <c r="E68" s="3"/>
      <c r="F68" s="8">
        <f t="shared" si="20"/>
        <v>0</v>
      </c>
      <c r="G68" s="3"/>
      <c r="H68" s="7">
        <v>500</v>
      </c>
      <c r="I68" s="3"/>
      <c r="J68" s="8">
        <f t="shared" si="21"/>
        <v>2.8318985047575896E-2</v>
      </c>
      <c r="K68" s="3"/>
      <c r="L68" s="7">
        <f t="shared" si="22"/>
        <v>-500</v>
      </c>
      <c r="M68" s="3"/>
      <c r="N68" s="8">
        <f t="shared" si="23"/>
        <v>-1</v>
      </c>
      <c r="O68" s="12"/>
      <c r="P68" s="7"/>
      <c r="Q68" s="3"/>
      <c r="R68" s="8">
        <f t="shared" si="24"/>
        <v>0</v>
      </c>
      <c r="S68" s="3"/>
      <c r="T68" s="7">
        <v>2000</v>
      </c>
      <c r="U68" s="3"/>
      <c r="V68" s="8">
        <f t="shared" si="25"/>
        <v>6.3291379587517417E-4</v>
      </c>
      <c r="W68" s="3"/>
      <c r="X68" s="7">
        <f t="shared" si="26"/>
        <v>-2000</v>
      </c>
      <c r="Y68" s="3"/>
      <c r="Z68" s="8">
        <f t="shared" si="27"/>
        <v>-1</v>
      </c>
    </row>
    <row r="69" spans="1:26" s="69" customFormat="1" ht="15" customHeight="1" outlineLevel="1" collapsed="1" x14ac:dyDescent="0.3">
      <c r="A69" s="25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1.829669815955343E-2</v>
      </c>
      <c r="G69" s="2"/>
      <c r="H69" s="2">
        <f>SUM(OSRRefH22_8x_0)</f>
        <v>1000</v>
      </c>
      <c r="I69" s="2"/>
      <c r="J69" s="6">
        <f t="shared" si="21"/>
        <v>5.6637970095151792E-2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14000</v>
      </c>
      <c r="Q69" s="2"/>
      <c r="R69" s="6">
        <f t="shared" si="24"/>
        <v>7.922100043697174E-3</v>
      </c>
      <c r="S69" s="2"/>
      <c r="T69" s="2">
        <f>SUM(OSRRefT22_8x_0)</f>
        <v>14000</v>
      </c>
      <c r="U69" s="2"/>
      <c r="V69" s="6">
        <f t="shared" si="25"/>
        <v>4.4303965711262197E-3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3">
      <c r="A70" s="26"/>
      <c r="B70" s="12" t="str">
        <f>CONCATENATE("          ","6408"," - ","INVENTORY ADJUSTMENT")</f>
        <v xml:space="preserve">          6408 - INVENTORY ADJUSTMENT</v>
      </c>
      <c r="C70" s="12"/>
      <c r="D70" s="7">
        <v>1000</v>
      </c>
      <c r="E70" s="3"/>
      <c r="F70" s="8">
        <f t="shared" si="20"/>
        <v>1.829669815955343E-2</v>
      </c>
      <c r="G70" s="3"/>
      <c r="H70" s="7">
        <v>1000</v>
      </c>
      <c r="I70" s="3"/>
      <c r="J70" s="8">
        <f t="shared" si="21"/>
        <v>5.6637970095151792E-2</v>
      </c>
      <c r="K70" s="3"/>
      <c r="L70" s="7">
        <f t="shared" si="22"/>
        <v>0</v>
      </c>
      <c r="M70" s="3"/>
      <c r="N70" s="8">
        <f t="shared" si="23"/>
        <v>0</v>
      </c>
      <c r="O70" s="12"/>
      <c r="P70" s="7">
        <v>14000</v>
      </c>
      <c r="Q70" s="3"/>
      <c r="R70" s="8">
        <f t="shared" si="24"/>
        <v>7.922100043697174E-3</v>
      </c>
      <c r="S70" s="3"/>
      <c r="T70" s="7">
        <v>14000</v>
      </c>
      <c r="U70" s="3"/>
      <c r="V70" s="8">
        <f t="shared" si="25"/>
        <v>4.4303965711262197E-3</v>
      </c>
      <c r="W70" s="3"/>
      <c r="X70" s="7">
        <f t="shared" si="26"/>
        <v>0</v>
      </c>
      <c r="Y70" s="3"/>
      <c r="Z70" s="8">
        <f t="shared" si="27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17.25</v>
      </c>
      <c r="E71" s="2"/>
      <c r="F71" s="6">
        <f t="shared" si="20"/>
        <v>3.1561804325229664E-4</v>
      </c>
      <c r="G71" s="2"/>
      <c r="H71" s="2">
        <f>SUM(OSRRefH22_9x_0)</f>
        <v>80</v>
      </c>
      <c r="I71" s="2"/>
      <c r="J71" s="6">
        <f t="shared" si="21"/>
        <v>4.5310376076121428E-3</v>
      </c>
      <c r="K71" s="2"/>
      <c r="L71" s="2">
        <f t="shared" si="22"/>
        <v>-62.75</v>
      </c>
      <c r="M71" s="2"/>
      <c r="N71" s="6">
        <f t="shared" si="23"/>
        <v>-0.78437500000000004</v>
      </c>
      <c r="O71" s="14"/>
      <c r="P71" s="2">
        <f>SUM(OSRRefP22_9x_0)</f>
        <v>6062.4</v>
      </c>
      <c r="Q71" s="2"/>
      <c r="R71" s="6">
        <f t="shared" si="24"/>
        <v>3.4304956646364101E-3</v>
      </c>
      <c r="S71" s="2"/>
      <c r="T71" s="2">
        <f>SUM(OSRRefT22_9x_0)</f>
        <v>800</v>
      </c>
      <c r="U71" s="2"/>
      <c r="V71" s="6">
        <f t="shared" si="25"/>
        <v>2.531655183500697E-4</v>
      </c>
      <c r="W71" s="2"/>
      <c r="X71" s="2">
        <f t="shared" si="26"/>
        <v>5262.4</v>
      </c>
      <c r="Y71" s="2"/>
      <c r="Z71" s="6">
        <f t="shared" si="27"/>
        <v>6.5779999999999994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7"/>
      <c r="E72" s="3"/>
      <c r="F72" s="8">
        <f t="shared" si="20"/>
        <v>0</v>
      </c>
      <c r="G72" s="3"/>
      <c r="H72" s="7"/>
      <c r="I72" s="3"/>
      <c r="J72" s="8">
        <f t="shared" si="21"/>
        <v>0</v>
      </c>
      <c r="K72" s="3"/>
      <c r="L72" s="7">
        <f t="shared" si="22"/>
        <v>0</v>
      </c>
      <c r="M72" s="3"/>
      <c r="N72" s="8">
        <f t="shared" si="23"/>
        <v>0</v>
      </c>
      <c r="O72" s="12"/>
      <c r="P72" s="7">
        <v>5775</v>
      </c>
      <c r="Q72" s="3"/>
      <c r="R72" s="8">
        <f t="shared" si="24"/>
        <v>3.2678662680250842E-3</v>
      </c>
      <c r="S72" s="3"/>
      <c r="T72" s="7"/>
      <c r="U72" s="3"/>
      <c r="V72" s="8">
        <f t="shared" si="25"/>
        <v>0</v>
      </c>
      <c r="W72" s="3"/>
      <c r="X72" s="7">
        <f t="shared" si="26"/>
        <v>5775</v>
      </c>
      <c r="Y72" s="3"/>
      <c r="Z72" s="8">
        <f t="shared" si="27"/>
        <v>0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7">
        <v>17.25</v>
      </c>
      <c r="E73" s="3"/>
      <c r="F73" s="8">
        <f t="shared" si="20"/>
        <v>3.1561804325229664E-4</v>
      </c>
      <c r="G73" s="3"/>
      <c r="H73" s="7">
        <v>40</v>
      </c>
      <c r="I73" s="3"/>
      <c r="J73" s="8">
        <f t="shared" si="21"/>
        <v>2.2655188038060714E-3</v>
      </c>
      <c r="K73" s="3"/>
      <c r="L73" s="7">
        <f t="shared" si="22"/>
        <v>-22.75</v>
      </c>
      <c r="M73" s="3"/>
      <c r="N73" s="8">
        <f t="shared" si="23"/>
        <v>-0.56874999999999998</v>
      </c>
      <c r="O73" s="12"/>
      <c r="P73" s="7">
        <v>149.97999999999999</v>
      </c>
      <c r="Q73" s="3"/>
      <c r="R73" s="8">
        <f t="shared" si="24"/>
        <v>8.4868326039550136E-5</v>
      </c>
      <c r="S73" s="3"/>
      <c r="T73" s="7">
        <v>400</v>
      </c>
      <c r="U73" s="3"/>
      <c r="V73" s="8">
        <f t="shared" si="25"/>
        <v>1.2658275917503485E-4</v>
      </c>
      <c r="W73" s="3"/>
      <c r="X73" s="7">
        <f t="shared" si="26"/>
        <v>-250.02</v>
      </c>
      <c r="Y73" s="3"/>
      <c r="Z73" s="8">
        <f t="shared" si="27"/>
        <v>-0.62504999999999999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7"/>
      <c r="E74" s="3"/>
      <c r="F74" s="8">
        <f t="shared" si="20"/>
        <v>0</v>
      </c>
      <c r="G74" s="3"/>
      <c r="H74" s="7">
        <v>40</v>
      </c>
      <c r="I74" s="3"/>
      <c r="J74" s="8">
        <f t="shared" si="21"/>
        <v>2.2655188038060714E-3</v>
      </c>
      <c r="K74" s="3"/>
      <c r="L74" s="7">
        <f t="shared" si="22"/>
        <v>-40</v>
      </c>
      <c r="M74" s="3"/>
      <c r="N74" s="8">
        <f t="shared" si="23"/>
        <v>-1</v>
      </c>
      <c r="O74" s="12"/>
      <c r="P74" s="7">
        <v>137.41999999999999</v>
      </c>
      <c r="Q74" s="3"/>
      <c r="R74" s="8">
        <f t="shared" si="24"/>
        <v>7.7761070571776101E-5</v>
      </c>
      <c r="S74" s="3"/>
      <c r="T74" s="7">
        <v>400</v>
      </c>
      <c r="U74" s="3"/>
      <c r="V74" s="8">
        <f t="shared" si="25"/>
        <v>1.2658275917503485E-4</v>
      </c>
      <c r="W74" s="3"/>
      <c r="X74" s="7">
        <f t="shared" si="26"/>
        <v>-262.58000000000004</v>
      </c>
      <c r="Y74" s="3"/>
      <c r="Z74" s="8">
        <f t="shared" si="27"/>
        <v>-0.65645000000000009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2418.29</v>
      </c>
      <c r="E75" s="2"/>
      <c r="F75" s="6">
        <f t="shared" si="20"/>
        <v>4.4246722192266462E-2</v>
      </c>
      <c r="G75" s="2"/>
      <c r="H75" s="2">
        <f>SUM(OSRRefH22_10x_0)</f>
        <v>300</v>
      </c>
      <c r="I75" s="2"/>
      <c r="J75" s="6">
        <f t="shared" si="21"/>
        <v>1.6991391028545536E-2</v>
      </c>
      <c r="K75" s="2"/>
      <c r="L75" s="2">
        <f t="shared" si="22"/>
        <v>2118.29</v>
      </c>
      <c r="M75" s="2"/>
      <c r="N75" s="6">
        <f t="shared" si="23"/>
        <v>7.0609666666666664</v>
      </c>
      <c r="O75" s="14"/>
      <c r="P75" s="2">
        <f>SUM(OSRRefP22_10x_0)</f>
        <v>4840.3900000000003</v>
      </c>
      <c r="Q75" s="2"/>
      <c r="R75" s="6">
        <f t="shared" si="24"/>
        <v>2.7390038450365258E-3</v>
      </c>
      <c r="S75" s="2"/>
      <c r="T75" s="2">
        <f>SUM(OSRRefT22_10x_0)</f>
        <v>4900</v>
      </c>
      <c r="U75" s="2"/>
      <c r="V75" s="6">
        <f t="shared" si="25"/>
        <v>1.5506387998941767E-3</v>
      </c>
      <c r="W75" s="2"/>
      <c r="X75" s="2">
        <f t="shared" si="26"/>
        <v>-59.609999999999673</v>
      </c>
      <c r="Y75" s="2"/>
      <c r="Z75" s="6">
        <f t="shared" si="27"/>
        <v>-1.2165306122448913E-2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7">
        <v>510.65</v>
      </c>
      <c r="E76" s="3"/>
      <c r="F76" s="8">
        <f t="shared" si="20"/>
        <v>9.343208915175958E-3</v>
      </c>
      <c r="G76" s="3"/>
      <c r="H76" s="7">
        <v>300</v>
      </c>
      <c r="I76" s="3"/>
      <c r="J76" s="8">
        <f t="shared" si="21"/>
        <v>1.6991391028545536E-2</v>
      </c>
      <c r="K76" s="3"/>
      <c r="L76" s="7">
        <f t="shared" si="22"/>
        <v>210.64999999999998</v>
      </c>
      <c r="M76" s="3"/>
      <c r="N76" s="8">
        <f t="shared" si="23"/>
        <v>0.70216666666666661</v>
      </c>
      <c r="O76" s="12"/>
      <c r="P76" s="7">
        <v>2932.75</v>
      </c>
      <c r="Q76" s="3"/>
      <c r="R76" s="8">
        <f t="shared" si="24"/>
        <v>1.6595384930823489E-3</v>
      </c>
      <c r="S76" s="3"/>
      <c r="T76" s="7">
        <v>3000</v>
      </c>
      <c r="U76" s="3"/>
      <c r="V76" s="8">
        <f t="shared" si="25"/>
        <v>9.4937069381276131E-4</v>
      </c>
      <c r="W76" s="3"/>
      <c r="X76" s="7">
        <f t="shared" si="26"/>
        <v>-67.25</v>
      </c>
      <c r="Y76" s="3"/>
      <c r="Z76" s="8">
        <f t="shared" si="27"/>
        <v>-2.2416666666666668E-2</v>
      </c>
    </row>
    <row r="77" spans="1:26" s="70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7">
        <v>1907.64</v>
      </c>
      <c r="E77" s="3"/>
      <c r="F77" s="8">
        <f t="shared" si="20"/>
        <v>3.4903513277090507E-2</v>
      </c>
      <c r="G77" s="3"/>
      <c r="H77" s="7"/>
      <c r="I77" s="3"/>
      <c r="J77" s="8">
        <f t="shared" si="21"/>
        <v>0</v>
      </c>
      <c r="K77" s="3"/>
      <c r="L77" s="7">
        <f t="shared" si="22"/>
        <v>1907.64</v>
      </c>
      <c r="M77" s="3"/>
      <c r="N77" s="8">
        <f t="shared" si="23"/>
        <v>0</v>
      </c>
      <c r="O77" s="12"/>
      <c r="P77" s="7">
        <v>1907.64</v>
      </c>
      <c r="Q77" s="3"/>
      <c r="R77" s="8">
        <f t="shared" si="24"/>
        <v>1.0794653519541769E-3</v>
      </c>
      <c r="S77" s="3"/>
      <c r="T77" s="7">
        <v>1900</v>
      </c>
      <c r="U77" s="3"/>
      <c r="V77" s="8">
        <f t="shared" si="25"/>
        <v>6.0126810608141553E-4</v>
      </c>
      <c r="W77" s="3"/>
      <c r="X77" s="7">
        <f t="shared" si="26"/>
        <v>7.6400000000001</v>
      </c>
      <c r="Y77" s="3"/>
      <c r="Z77" s="8">
        <f t="shared" si="27"/>
        <v>4.0210526315789998E-3</v>
      </c>
    </row>
    <row r="78" spans="1:26" s="69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53.26</v>
      </c>
      <c r="E78" s="2"/>
      <c r="F78" s="6">
        <f t="shared" si="20"/>
        <v>9.744821439778156E-4</v>
      </c>
      <c r="G78" s="2"/>
      <c r="H78" s="2">
        <f>SUM(OSRRefH22_11x_0)</f>
        <v>700</v>
      </c>
      <c r="I78" s="2"/>
      <c r="J78" s="6">
        <f t="shared" si="21"/>
        <v>3.964657906660625E-2</v>
      </c>
      <c r="K78" s="2"/>
      <c r="L78" s="2">
        <f t="shared" si="22"/>
        <v>-646.74</v>
      </c>
      <c r="M78" s="2"/>
      <c r="N78" s="6">
        <f t="shared" si="23"/>
        <v>-0.92391428571428569</v>
      </c>
      <c r="O78" s="14"/>
      <c r="P78" s="2">
        <f>SUM(OSRRefP22_11x_0)</f>
        <v>1533.62</v>
      </c>
      <c r="Q78" s="2"/>
      <c r="R78" s="6">
        <f t="shared" si="24"/>
        <v>8.6782079064391844E-4</v>
      </c>
      <c r="S78" s="2"/>
      <c r="T78" s="2">
        <f>SUM(OSRRefT22_11x_0)</f>
        <v>8700</v>
      </c>
      <c r="U78" s="2"/>
      <c r="V78" s="6">
        <f t="shared" si="25"/>
        <v>2.7531750120570078E-3</v>
      </c>
      <c r="W78" s="2"/>
      <c r="X78" s="2">
        <f t="shared" si="26"/>
        <v>-7166.38</v>
      </c>
      <c r="Y78" s="2"/>
      <c r="Z78" s="6">
        <f t="shared" si="27"/>
        <v>-0.82372183908045982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>
        <v>53.26</v>
      </c>
      <c r="E79" s="3"/>
      <c r="F79" s="8">
        <f t="shared" si="20"/>
        <v>9.744821439778156E-4</v>
      </c>
      <c r="G79" s="3"/>
      <c r="H79" s="7">
        <v>300</v>
      </c>
      <c r="I79" s="3"/>
      <c r="J79" s="8">
        <f t="shared" si="21"/>
        <v>1.6991391028545536E-2</v>
      </c>
      <c r="K79" s="3"/>
      <c r="L79" s="7">
        <f t="shared" si="22"/>
        <v>-246.74</v>
      </c>
      <c r="M79" s="3"/>
      <c r="N79" s="8">
        <f t="shared" si="23"/>
        <v>-0.82246666666666668</v>
      </c>
      <c r="O79" s="12"/>
      <c r="P79" s="7">
        <v>1338.59</v>
      </c>
      <c r="Q79" s="3"/>
      <c r="R79" s="8">
        <f t="shared" si="24"/>
        <v>7.5746027839232845E-4</v>
      </c>
      <c r="S79" s="3"/>
      <c r="T79" s="7">
        <v>4200</v>
      </c>
      <c r="U79" s="3"/>
      <c r="V79" s="8">
        <f t="shared" si="25"/>
        <v>1.3291189713378658E-3</v>
      </c>
      <c r="W79" s="3"/>
      <c r="X79" s="7">
        <f t="shared" si="26"/>
        <v>-2861.41</v>
      </c>
      <c r="Y79" s="3"/>
      <c r="Z79" s="8">
        <f t="shared" si="27"/>
        <v>-0.68128809523809519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/>
      <c r="E80" s="3"/>
      <c r="F80" s="8">
        <f t="shared" si="20"/>
        <v>0</v>
      </c>
      <c r="G80" s="3"/>
      <c r="H80" s="7">
        <v>400</v>
      </c>
      <c r="I80" s="3"/>
      <c r="J80" s="8">
        <f t="shared" si="21"/>
        <v>2.2655188038060717E-2</v>
      </c>
      <c r="K80" s="3"/>
      <c r="L80" s="7">
        <f t="shared" si="22"/>
        <v>-400</v>
      </c>
      <c r="M80" s="3"/>
      <c r="N80" s="8">
        <f t="shared" si="23"/>
        <v>-1</v>
      </c>
      <c r="O80" s="12"/>
      <c r="P80" s="7">
        <v>195.03</v>
      </c>
      <c r="Q80" s="3"/>
      <c r="R80" s="8">
        <f t="shared" si="24"/>
        <v>1.1036051225158998E-4</v>
      </c>
      <c r="S80" s="3"/>
      <c r="T80" s="7">
        <v>4500</v>
      </c>
      <c r="U80" s="3"/>
      <c r="V80" s="8">
        <f t="shared" si="25"/>
        <v>1.424056040719142E-3</v>
      </c>
      <c r="W80" s="3"/>
      <c r="X80" s="7">
        <f t="shared" si="26"/>
        <v>-4304.97</v>
      </c>
      <c r="Y80" s="3"/>
      <c r="Z80" s="8">
        <f t="shared" si="27"/>
        <v>-0.95666000000000007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526.5</v>
      </c>
      <c r="E81" s="2"/>
      <c r="F81" s="6">
        <f t="shared" si="20"/>
        <v>9.6332115810048805E-3</v>
      </c>
      <c r="G81" s="2"/>
      <c r="H81" s="2">
        <f>SUM(OSRRefH22_12x_0)</f>
        <v>350</v>
      </c>
      <c r="I81" s="2"/>
      <c r="J81" s="6">
        <f t="shared" si="21"/>
        <v>1.9823289533303125E-2</v>
      </c>
      <c r="K81" s="2"/>
      <c r="L81" s="2">
        <f t="shared" si="22"/>
        <v>176.5</v>
      </c>
      <c r="M81" s="2"/>
      <c r="N81" s="6">
        <f t="shared" si="23"/>
        <v>0.50428571428571434</v>
      </c>
      <c r="O81" s="14"/>
      <c r="P81" s="2">
        <f>SUM(OSRRefP22_12x_0)</f>
        <v>5476.55</v>
      </c>
      <c r="Q81" s="2"/>
      <c r="R81" s="6">
        <f t="shared" si="24"/>
        <v>3.0989840710221256E-3</v>
      </c>
      <c r="S81" s="2"/>
      <c r="T81" s="2">
        <f>SUM(OSRRefT22_12x_0)</f>
        <v>4100</v>
      </c>
      <c r="U81" s="2"/>
      <c r="V81" s="6">
        <f t="shared" si="25"/>
        <v>1.2974732815441072E-3</v>
      </c>
      <c r="W81" s="2"/>
      <c r="X81" s="2">
        <f t="shared" si="26"/>
        <v>1376.5500000000002</v>
      </c>
      <c r="Y81" s="2"/>
      <c r="Z81" s="6">
        <f t="shared" si="27"/>
        <v>0.33574390243902441</v>
      </c>
    </row>
    <row r="82" spans="1:26" s="70" customFormat="1" ht="15" hidden="1" customHeight="1" outlineLevel="2" x14ac:dyDescent="0.3">
      <c r="A82" s="26"/>
      <c r="B82" s="12" t="str">
        <f>CONCATENATE("          ","6303"," - ","DATA PHONE LINES")</f>
        <v xml:space="preserve">          6303 - DATA PHONE LINES</v>
      </c>
      <c r="C82" s="12"/>
      <c r="D82" s="7"/>
      <c r="E82" s="3"/>
      <c r="F82" s="8">
        <f t="shared" si="20"/>
        <v>0</v>
      </c>
      <c r="G82" s="3"/>
      <c r="H82" s="7">
        <v>0</v>
      </c>
      <c r="I82" s="3"/>
      <c r="J82" s="8">
        <f t="shared" si="21"/>
        <v>0</v>
      </c>
      <c r="K82" s="3"/>
      <c r="L82" s="7">
        <f t="shared" si="22"/>
        <v>0</v>
      </c>
      <c r="M82" s="3"/>
      <c r="N82" s="8">
        <f t="shared" si="23"/>
        <v>0</v>
      </c>
      <c r="O82" s="12"/>
      <c r="P82" s="7">
        <v>295</v>
      </c>
      <c r="Q82" s="3"/>
      <c r="R82" s="8">
        <f t="shared" si="24"/>
        <v>1.6692996520647615E-4</v>
      </c>
      <c r="S82" s="3"/>
      <c r="T82" s="7">
        <v>0</v>
      </c>
      <c r="U82" s="3"/>
      <c r="V82" s="8">
        <f t="shared" si="25"/>
        <v>0</v>
      </c>
      <c r="W82" s="3"/>
      <c r="X82" s="7">
        <f t="shared" si="26"/>
        <v>295</v>
      </c>
      <c r="Y82" s="3"/>
      <c r="Z82" s="8">
        <f t="shared" si="27"/>
        <v>0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526.5</v>
      </c>
      <c r="E83" s="3"/>
      <c r="F83" s="8">
        <f t="shared" si="20"/>
        <v>9.6332115810048805E-3</v>
      </c>
      <c r="G83" s="3"/>
      <c r="H83" s="7">
        <v>350</v>
      </c>
      <c r="I83" s="3"/>
      <c r="J83" s="8">
        <f t="shared" si="21"/>
        <v>1.9823289533303125E-2</v>
      </c>
      <c r="K83" s="3"/>
      <c r="L83" s="7">
        <f t="shared" si="22"/>
        <v>176.5</v>
      </c>
      <c r="M83" s="3"/>
      <c r="N83" s="8">
        <f t="shared" si="23"/>
        <v>0.50428571428571434</v>
      </c>
      <c r="O83" s="12"/>
      <c r="P83" s="7">
        <v>5181.55</v>
      </c>
      <c r="Q83" s="3"/>
      <c r="R83" s="8">
        <f t="shared" si="24"/>
        <v>2.9320541058156491E-3</v>
      </c>
      <c r="S83" s="3"/>
      <c r="T83" s="7">
        <v>4100</v>
      </c>
      <c r="U83" s="3"/>
      <c r="V83" s="8">
        <f t="shared" si="25"/>
        <v>1.2974732815441072E-3</v>
      </c>
      <c r="W83" s="3"/>
      <c r="X83" s="7">
        <f t="shared" si="26"/>
        <v>1081.5500000000002</v>
      </c>
      <c r="Y83" s="3"/>
      <c r="Z83" s="8">
        <f t="shared" si="27"/>
        <v>0.26379268292682934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125</v>
      </c>
      <c r="E84" s="2"/>
      <c r="F84" s="6">
        <f t="shared" si="20"/>
        <v>2.2870872699441787E-3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125</v>
      </c>
      <c r="M84" s="2"/>
      <c r="N84" s="6">
        <f t="shared" si="23"/>
        <v>0</v>
      </c>
      <c r="O84" s="14"/>
      <c r="P84" s="2">
        <f>SUM(OSRRefP22_13x_0)</f>
        <v>125</v>
      </c>
      <c r="Q84" s="2"/>
      <c r="R84" s="6">
        <f t="shared" si="24"/>
        <v>7.0733036104439048E-5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125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7">
        <v>125</v>
      </c>
      <c r="E85" s="3"/>
      <c r="F85" s="8">
        <f t="shared" si="20"/>
        <v>2.2870872699441787E-3</v>
      </c>
      <c r="G85" s="3"/>
      <c r="H85" s="7">
        <v>0</v>
      </c>
      <c r="I85" s="3"/>
      <c r="J85" s="8">
        <f t="shared" si="21"/>
        <v>0</v>
      </c>
      <c r="K85" s="3"/>
      <c r="L85" s="7">
        <f t="shared" si="22"/>
        <v>125</v>
      </c>
      <c r="M85" s="3"/>
      <c r="N85" s="8">
        <f t="shared" si="23"/>
        <v>0</v>
      </c>
      <c r="O85" s="12"/>
      <c r="P85" s="7">
        <v>125</v>
      </c>
      <c r="Q85" s="3"/>
      <c r="R85" s="8">
        <f t="shared" si="24"/>
        <v>7.0733036104439048E-5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125</v>
      </c>
      <c r="Y85" s="3"/>
      <c r="Z85" s="8">
        <f t="shared" si="27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8" t="s">
        <v>291</v>
      </c>
      <c r="C87" s="11"/>
      <c r="D87" s="5">
        <f>SUM(OSRRefD25x_0)</f>
        <v>6860.4</v>
      </c>
      <c r="E87" s="5"/>
      <c r="F87" s="13">
        <f>IF(D$12=0,0,D87/D$12)</f>
        <v>0.12552266805380033</v>
      </c>
      <c r="G87" s="5"/>
      <c r="H87" s="5">
        <f>SUM(OSRRefH25x_0)</f>
        <v>215</v>
      </c>
      <c r="I87" s="5"/>
      <c r="J87" s="13">
        <f>IF(H$12=0,0,H87/H$12)</f>
        <v>1.2177163570457636E-2</v>
      </c>
      <c r="K87" s="5"/>
      <c r="L87" s="5">
        <f>+D87-H87</f>
        <v>6645.4</v>
      </c>
      <c r="M87" s="5"/>
      <c r="N87" s="13">
        <f>IF(H87=0,0,L87/H87)</f>
        <v>30.908837209302323</v>
      </c>
      <c r="O87" s="11"/>
      <c r="P87" s="5">
        <f>SUM(OSRRefP25x_0)</f>
        <v>357264.84</v>
      </c>
      <c r="Q87" s="5"/>
      <c r="R87" s="13">
        <f>IF(P$12=0,0,P87/P$12)</f>
        <v>0.20216341461253312</v>
      </c>
      <c r="S87" s="5"/>
      <c r="T87" s="5">
        <f>SUM(OSRRefT25x_0)</f>
        <v>360316.23</v>
      </c>
      <c r="U87" s="5"/>
      <c r="V87" s="13">
        <f>IF(T$12=0,0,T87/T$12)</f>
        <v>0.11402455642236616</v>
      </c>
      <c r="W87" s="5"/>
      <c r="X87" s="5">
        <f>+P87-T87</f>
        <v>-3051.3899999999558</v>
      </c>
      <c r="Y87" s="5"/>
      <c r="Z87" s="13">
        <f>IF(T87=0,0,X87/T87)</f>
        <v>-8.4686443350052692E-3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--7356.49</f>
        <v>7356.49</v>
      </c>
      <c r="E88" s="3"/>
      <c r="F88" s="20">
        <f>IF(D$12=0,0,D88/D$12)</f>
        <v>0.1345994770437732</v>
      </c>
      <c r="G88" s="3"/>
      <c r="H88" s="3">
        <v>215</v>
      </c>
      <c r="I88" s="3"/>
      <c r="J88" s="20">
        <f>IF(H$12=0,0,H88/H$12)</f>
        <v>1.2177163570457636E-2</v>
      </c>
      <c r="K88" s="3"/>
      <c r="L88" s="3">
        <f>+D88-H88</f>
        <v>7141.49</v>
      </c>
      <c r="M88" s="3"/>
      <c r="N88" s="20">
        <f>IF(H88=0,0,L88/H88)</f>
        <v>33.216232558139531</v>
      </c>
      <c r="O88" s="12"/>
      <c r="P88" s="3">
        <f>--29614.71</f>
        <v>29614.71</v>
      </c>
      <c r="Q88" s="3"/>
      <c r="R88" s="20">
        <f>IF(P$12=0,0,P88/P$12)</f>
        <v>1.6757906813219935E-2</v>
      </c>
      <c r="S88" s="3"/>
      <c r="T88" s="3">
        <v>32454</v>
      </c>
      <c r="U88" s="3"/>
      <c r="V88" s="20">
        <f>IF(T$12=0,0,T88/T$12)</f>
        <v>1.0270292165666451E-2</v>
      </c>
      <c r="W88" s="3"/>
      <c r="X88" s="3">
        <f>+P88-T88</f>
        <v>-2839.2900000000009</v>
      </c>
      <c r="Y88" s="3"/>
      <c r="Z88" s="20">
        <f>IF(T88=0,0,X88/T88)</f>
        <v>-8.7486596413385131E-2</v>
      </c>
    </row>
    <row r="89" spans="1:26" s="70" customFormat="1" ht="15" hidden="1" customHeight="1" outlineLevel="1" x14ac:dyDescent="0.3">
      <c r="A89" s="42"/>
      <c r="B89" s="12" t="str">
        <f>CONCATENATE("          ","9151"," - ","MISC. INCOME")</f>
        <v xml:space="preserve">          9151 - MISC. INCOME</v>
      </c>
      <c r="C89" s="12"/>
      <c r="D89" s="3">
        <f>0</f>
        <v>0</v>
      </c>
      <c r="E89" s="3"/>
      <c r="F89" s="20">
        <f>IF(D$12=0,0,D89/D$12)</f>
        <v>0</v>
      </c>
      <c r="G89" s="3"/>
      <c r="H89" s="3"/>
      <c r="I89" s="3"/>
      <c r="J89" s="20">
        <f>IF(H$12=0,0,H89/H$12)</f>
        <v>0</v>
      </c>
      <c r="K89" s="3"/>
      <c r="L89" s="3">
        <f>+D89-H89</f>
        <v>0</v>
      </c>
      <c r="M89" s="3"/>
      <c r="N89" s="20">
        <f>IF(H89=0,0,L89/H89)</f>
        <v>0</v>
      </c>
      <c r="O89" s="12"/>
      <c r="P89" s="3">
        <f>--323761.7</f>
        <v>323761.7</v>
      </c>
      <c r="Q89" s="3"/>
      <c r="R89" s="20">
        <f>IF(P$12=0,0,P89/P$12)</f>
        <v>0.18320518412267653</v>
      </c>
      <c r="S89" s="3"/>
      <c r="T89" s="3">
        <v>327862.23</v>
      </c>
      <c r="U89" s="3"/>
      <c r="V89" s="20">
        <f>IF(T$12=0,0,T89/T$12)</f>
        <v>0.1037542642566997</v>
      </c>
      <c r="W89" s="3"/>
      <c r="X89" s="3">
        <f>+P89-T89</f>
        <v>-4100.5299999999697</v>
      </c>
      <c r="Y89" s="3"/>
      <c r="Z89" s="20">
        <f>IF(T89=0,0,X89/T89)</f>
        <v>-1.2506869119995828E-2</v>
      </c>
    </row>
    <row r="90" spans="1:26" s="70" customFormat="1" ht="15" hidden="1" customHeight="1" outlineLevel="1" x14ac:dyDescent="0.3">
      <c r="A90" s="42"/>
      <c r="B90" s="12" t="str">
        <f>CONCATENATE("          ","9152"," - ","MISC. INCOME")</f>
        <v xml:space="preserve">          9152 - MISC. INCOME</v>
      </c>
      <c r="C90" s="12"/>
      <c r="D90" s="3">
        <f>-496.09</f>
        <v>-496.09</v>
      </c>
      <c r="E90" s="3"/>
      <c r="F90" s="20">
        <f>IF(D$12=0,0,D90/D$12)</f>
        <v>-9.0768089899728611E-3</v>
      </c>
      <c r="G90" s="3"/>
      <c r="H90" s="3"/>
      <c r="I90" s="3"/>
      <c r="J90" s="20">
        <f>IF(H$12=0,0,H90/H$12)</f>
        <v>0</v>
      </c>
      <c r="K90" s="3"/>
      <c r="L90" s="3">
        <f>+D90-H90</f>
        <v>-496.09</v>
      </c>
      <c r="M90" s="3"/>
      <c r="N90" s="20">
        <f>IF(H90=0,0,L90/H90)</f>
        <v>0</v>
      </c>
      <c r="O90" s="12"/>
      <c r="P90" s="3">
        <f>--3888.43</f>
        <v>3888.43</v>
      </c>
      <c r="Q90" s="3"/>
      <c r="R90" s="20">
        <f>IF(P$12=0,0,P90/P$12)</f>
        <v>2.2003236766366713E-3</v>
      </c>
      <c r="S90" s="3"/>
      <c r="T90" s="3"/>
      <c r="U90" s="3"/>
      <c r="V90" s="20">
        <f>IF(T$12=0,0,T90/T$12)</f>
        <v>0</v>
      </c>
      <c r="W90" s="3"/>
      <c r="X90" s="3">
        <f>+P90-T90</f>
        <v>3888.43</v>
      </c>
      <c r="Y90" s="3"/>
      <c r="Z90" s="20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292</v>
      </c>
      <c r="C93" s="27"/>
      <c r="D93" s="21">
        <f>+D31-D33+D87</f>
        <v>-38330.680000000015</v>
      </c>
      <c r="E93" s="15"/>
      <c r="F93" s="23">
        <f>IF(D$12=0,0,D93/D$12)</f>
        <v>-0.70132488221043177</v>
      </c>
      <c r="G93" s="15"/>
      <c r="H93" s="21">
        <f>+H31-H33+H87</f>
        <v>-49224.975590737202</v>
      </c>
      <c r="I93" s="15"/>
      <c r="J93" s="23">
        <f>IF(H$12=0,0,H93/H$12)</f>
        <v>-2.7880026954427506</v>
      </c>
      <c r="K93" s="17"/>
      <c r="L93" s="21">
        <f>+D93-H93</f>
        <v>10894.295590737187</v>
      </c>
      <c r="M93" s="17"/>
      <c r="N93" s="23">
        <f>IF(H93=0,0,L93/H93)</f>
        <v>-0.2213164244369315</v>
      </c>
      <c r="O93" s="28"/>
      <c r="P93" s="21">
        <f>+P31-P33+P87</f>
        <v>297610.50000000006</v>
      </c>
      <c r="Q93" s="15"/>
      <c r="R93" s="23">
        <f>IF(P$12=0,0,P93/P$12)</f>
        <v>0.16840715393248129</v>
      </c>
      <c r="S93" s="15"/>
      <c r="T93" s="21">
        <f>+T31-T33+T87</f>
        <v>687016.95679561282</v>
      </c>
      <c r="U93" s="15"/>
      <c r="V93" s="23">
        <f>IF(T$12=0,0,T93/T$12)</f>
        <v>0.21741125497806094</v>
      </c>
      <c r="W93" s="17"/>
      <c r="X93" s="21">
        <f>+P93-T93</f>
        <v>-389406.45679561276</v>
      </c>
      <c r="Y93" s="17"/>
      <c r="Z93" s="23">
        <f>IF(T93=0,0,X93/T93)</f>
        <v>-0.5668076354503444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-4192.8599999999997</v>
      </c>
      <c r="E95" s="5"/>
      <c r="F95" s="13">
        <f>IF(D$12=0,0,D95/D$12)</f>
        <v>-7.6715493845265187E-2</v>
      </c>
      <c r="G95" s="5"/>
      <c r="H95" s="5">
        <v>6046</v>
      </c>
      <c r="I95" s="5"/>
      <c r="J95" s="13">
        <f>IF(H$12=0,0,H95/H$12)</f>
        <v>0.34243316719528771</v>
      </c>
      <c r="K95" s="5"/>
      <c r="L95" s="5">
        <f>+D95-H95</f>
        <v>-10238.86</v>
      </c>
      <c r="M95" s="5"/>
      <c r="N95" s="13">
        <f>IF(H95=0,0,L95/H95)</f>
        <v>-1.6934932186569633</v>
      </c>
      <c r="O95" s="11"/>
      <c r="P95" s="5">
        <v>200196.2</v>
      </c>
      <c r="Q95" s="5"/>
      <c r="R95" s="13">
        <f>IF(P$12=0,0,P95/P$12)</f>
        <v>0.11328388034057202</v>
      </c>
      <c r="S95" s="5"/>
      <c r="T95" s="5">
        <v>388723</v>
      </c>
      <c r="U95" s="5"/>
      <c r="V95" s="13">
        <f>IF(T$12=0,0,T95/T$12)</f>
        <v>0.12301407473699268</v>
      </c>
      <c r="W95" s="5"/>
      <c r="X95" s="5">
        <f>+P95-T95</f>
        <v>-188526.8</v>
      </c>
      <c r="Y95" s="5"/>
      <c r="Z95" s="13">
        <f>IF(T95=0,0,X95/T95)</f>
        <v>-0.48499008291251094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294</v>
      </c>
      <c r="C97" s="27"/>
      <c r="D97" s="29">
        <f>+D93-D95</f>
        <v>-34137.820000000014</v>
      </c>
      <c r="E97" s="15"/>
      <c r="F97" s="30">
        <f>IF(D$12=0,0,D97/D$12)</f>
        <v>-0.62460938836516655</v>
      </c>
      <c r="G97" s="15"/>
      <c r="H97" s="29">
        <f>+H93-H95</f>
        <v>-55270.975590737202</v>
      </c>
      <c r="I97" s="15"/>
      <c r="J97" s="30">
        <f>IF(H$12=0,0,H97/H$12)</f>
        <v>-3.1304358626380382</v>
      </c>
      <c r="K97" s="17"/>
      <c r="L97" s="29">
        <f>D97-H97</f>
        <v>21133.155590737188</v>
      </c>
      <c r="M97" s="17"/>
      <c r="N97" s="30">
        <f>IF(H97=0,0,L97/H97)</f>
        <v>-0.38235539295019916</v>
      </c>
      <c r="O97" s="28"/>
      <c r="P97" s="29">
        <f>+P93-P95</f>
        <v>97414.300000000047</v>
      </c>
      <c r="Q97" s="15"/>
      <c r="R97" s="30">
        <f>IF(P$12=0,0,P97/P$12)</f>
        <v>5.5123273591909279E-2</v>
      </c>
      <c r="S97" s="15"/>
      <c r="T97" s="29">
        <f>+T93-T95</f>
        <v>298293.95679561282</v>
      </c>
      <c r="U97" s="15"/>
      <c r="V97" s="30">
        <f>IF(T$12=0,0,T97/T$12)</f>
        <v>9.439718024106826E-2</v>
      </c>
      <c r="W97" s="17"/>
      <c r="X97" s="29">
        <f>P97-T97</f>
        <v>-200879.65679561277</v>
      </c>
      <c r="Y97" s="17"/>
      <c r="Z97" s="30">
        <f>IF(T97=0,0,X97/T97)</f>
        <v>-0.67342851646589985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297</v>
      </c>
      <c r="C100" s="27"/>
      <c r="D100" s="32">
        <f>SUM(D97:D99)</f>
        <v>-34137.820000000014</v>
      </c>
      <c r="E100" s="15"/>
      <c r="F100" s="34">
        <f>IF(D$12=0,0,D100/D$12)</f>
        <v>-0.62460938836516655</v>
      </c>
      <c r="G100" s="15"/>
      <c r="H100" s="32">
        <f>SUM(H97:H99)</f>
        <v>-55270.975590737202</v>
      </c>
      <c r="I100" s="15"/>
      <c r="J100" s="34">
        <f>IF(H$12=0,0,H100/H$12)</f>
        <v>-3.1304358626380382</v>
      </c>
      <c r="K100" s="17"/>
      <c r="L100" s="32">
        <f>+D100-H100</f>
        <v>21133.155590737188</v>
      </c>
      <c r="M100" s="17"/>
      <c r="N100" s="34">
        <f>IF(H100=0,0,L100/H100)</f>
        <v>-0.38235539295019916</v>
      </c>
      <c r="O100" s="28"/>
      <c r="P100" s="32">
        <f>SUM(P97:P99)</f>
        <v>97414.300000000047</v>
      </c>
      <c r="Q100" s="15"/>
      <c r="R100" s="34">
        <f>IF(P$12=0,0,P100/P$12)</f>
        <v>5.5123273591909279E-2</v>
      </c>
      <c r="S100" s="15"/>
      <c r="T100" s="32">
        <f>SUM(T97:T99)</f>
        <v>298293.95679561282</v>
      </c>
      <c r="U100" s="15"/>
      <c r="V100" s="34">
        <f>IF(T$12=0,0,T100/T$12)</f>
        <v>9.439718024106826E-2</v>
      </c>
      <c r="W100" s="17"/>
      <c r="X100" s="32">
        <f>+P100-T100</f>
        <v>-200879.65679561277</v>
      </c>
      <c r="Y100" s="17"/>
      <c r="Z100" s="34">
        <f>IF(T100=0,0,X100/T100)</f>
        <v>-0.67342851646589985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6">
        <v>44694.888552430559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0" t="s">
        <v>298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1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FA953-3834-48AF-EBDF-17A853FF32CE}">
  <sheetPr>
    <tabColor rgb="FF92D050"/>
    <outlinePr summaryBelow="0" summaryRight="0"/>
  </sheetPr>
  <dimension ref="A2:Z3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","324"," - ","Textbook Rental")</f>
        <v>Department 324 - Textbook Rental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-3799.43</v>
      </c>
      <c r="E12" s="5"/>
      <c r="F12" s="13"/>
      <c r="G12" s="5"/>
      <c r="H12" s="5">
        <f>SUM(OSRRefH13x_0)</f>
        <v>1208</v>
      </c>
      <c r="I12" s="5"/>
      <c r="J12" s="13"/>
      <c r="K12" s="5"/>
      <c r="L12" s="5">
        <f>+D12-H12</f>
        <v>-5007.43</v>
      </c>
      <c r="M12" s="5"/>
      <c r="N12" s="13">
        <f>IF(H12=0,0,L12/H12)</f>
        <v>-4.1452235099337749</v>
      </c>
      <c r="O12" s="11"/>
      <c r="P12" s="5">
        <f>SUM(OSRRefP13x_0)</f>
        <v>435012.20999999996</v>
      </c>
      <c r="Q12" s="5"/>
      <c r="R12" s="13"/>
      <c r="S12" s="5"/>
      <c r="T12" s="5">
        <f>SUM(OSRRefT13x_0)</f>
        <v>1533594</v>
      </c>
      <c r="U12" s="5"/>
      <c r="V12" s="13"/>
      <c r="W12" s="5"/>
      <c r="X12" s="5">
        <f>+P12-T12</f>
        <v>-1098581.79</v>
      </c>
      <c r="Y12" s="5"/>
      <c r="Z12" s="13">
        <f>IF(T12=0,0,X12/T12)</f>
        <v>-0.71634460619955476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--272.75</f>
        <v>272.75</v>
      </c>
      <c r="E13" s="3"/>
      <c r="F13" s="20"/>
      <c r="G13" s="3"/>
      <c r="H13" s="3">
        <v>1208</v>
      </c>
      <c r="I13" s="3"/>
      <c r="J13" s="20"/>
      <c r="K13" s="3"/>
      <c r="L13" s="3">
        <f>+D13-H13</f>
        <v>-935.25</v>
      </c>
      <c r="M13" s="3"/>
      <c r="N13" s="20">
        <f>IF(H13=0,0,L13/H13)</f>
        <v>-0.77421357615894038</v>
      </c>
      <c r="O13" s="12"/>
      <c r="P13" s="3">
        <f>--271376.17</f>
        <v>271376.17</v>
      </c>
      <c r="Q13" s="3"/>
      <c r="R13" s="20"/>
      <c r="S13" s="3"/>
      <c r="T13" s="3">
        <v>1533594</v>
      </c>
      <c r="U13" s="3"/>
      <c r="V13" s="20"/>
      <c r="W13" s="3"/>
      <c r="X13" s="3">
        <f>+P13-T13</f>
        <v>-1262217.83</v>
      </c>
      <c r="Y13" s="3"/>
      <c r="Z13" s="20">
        <f>IF(T13=0,0,X13/T13)</f>
        <v>-0.82304562354834465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-4072.18</f>
        <v>-4072.18</v>
      </c>
      <c r="E14" s="3"/>
      <c r="F14" s="20"/>
      <c r="G14" s="3"/>
      <c r="H14" s="3"/>
      <c r="I14" s="3"/>
      <c r="J14" s="20"/>
      <c r="K14" s="3"/>
      <c r="L14" s="3">
        <f>+D14-H14</f>
        <v>-4072.18</v>
      </c>
      <c r="M14" s="3"/>
      <c r="N14" s="20">
        <f>IF(H14=0,0,L14/H14)</f>
        <v>0</v>
      </c>
      <c r="O14" s="12"/>
      <c r="P14" s="3">
        <f>--163636.04</f>
        <v>163636.04</v>
      </c>
      <c r="Q14" s="3"/>
      <c r="R14" s="20"/>
      <c r="S14" s="3"/>
      <c r="T14" s="3"/>
      <c r="U14" s="3"/>
      <c r="V14" s="20"/>
      <c r="W14" s="3"/>
      <c r="X14" s="3">
        <f>+P14-T14</f>
        <v>163636.04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-22823.43</v>
      </c>
      <c r="E16" s="5"/>
      <c r="F16" s="13">
        <f>IF(D$12=0,0,D16/D$12)</f>
        <v>6.0070668495011095</v>
      </c>
      <c r="G16" s="5"/>
      <c r="H16" s="5">
        <f>SUM(OSRRefH16x_0)</f>
        <v>876</v>
      </c>
      <c r="I16" s="5"/>
      <c r="J16" s="13">
        <f>IF(H$12=0,0,H16/H$12)</f>
        <v>0.72516556291390732</v>
      </c>
      <c r="K16" s="5"/>
      <c r="L16" s="5">
        <f>+D16-H16</f>
        <v>-23699.43</v>
      </c>
      <c r="M16" s="5"/>
      <c r="N16" s="13">
        <f>IF(H16=0,0,L16/H16)</f>
        <v>-27.05414383561644</v>
      </c>
      <c r="O16" s="11"/>
      <c r="P16" s="5">
        <f>SUM(OSRRefP16x_0)</f>
        <v>302402.75</v>
      </c>
      <c r="Q16" s="5"/>
      <c r="R16" s="13">
        <f>IF(P$12=0,0,P16/P$12)</f>
        <v>0.69515922323191803</v>
      </c>
      <c r="S16" s="5"/>
      <c r="T16" s="5">
        <f>SUM(OSRRefT16x_0)</f>
        <v>1111856</v>
      </c>
      <c r="U16" s="5"/>
      <c r="V16" s="13">
        <f>IF(T$12=0,0,T16/T$12)</f>
        <v>0.72500022822207177</v>
      </c>
      <c r="W16" s="5"/>
      <c r="X16" s="5">
        <f>+P16-T16</f>
        <v>-809453.25</v>
      </c>
      <c r="Y16" s="5"/>
      <c r="Z16" s="13">
        <f>IF(T16=0,0,X16/T16)</f>
        <v>-0.72801986048553047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>
        <v>-22823.43</v>
      </c>
      <c r="E17" s="3"/>
      <c r="F17" s="20">
        <f>IF(D$12=0,0,D17/D$12)</f>
        <v>6.0070668495011095</v>
      </c>
      <c r="G17" s="3"/>
      <c r="H17" s="3">
        <v>876</v>
      </c>
      <c r="I17" s="3"/>
      <c r="J17" s="20">
        <f>IF(H$12=0,0,H17/H$12)</f>
        <v>0.72516556291390732</v>
      </c>
      <c r="K17" s="3"/>
      <c r="L17" s="3">
        <f>+D17-H17</f>
        <v>-23699.43</v>
      </c>
      <c r="M17" s="3"/>
      <c r="N17" s="20">
        <f>IF(H17=0,0,L17/H17)</f>
        <v>-27.05414383561644</v>
      </c>
      <c r="O17" s="12"/>
      <c r="P17" s="3">
        <v>302402.75</v>
      </c>
      <c r="Q17" s="3"/>
      <c r="R17" s="20">
        <f>IF(P$12=0,0,P17/P$12)</f>
        <v>0.69515922323191803</v>
      </c>
      <c r="S17" s="3"/>
      <c r="T17" s="3">
        <v>1111856</v>
      </c>
      <c r="U17" s="3"/>
      <c r="V17" s="20">
        <f>IF(T$12=0,0,T17/T$12)</f>
        <v>0.72500022822207177</v>
      </c>
      <c r="W17" s="3"/>
      <c r="X17" s="3">
        <f>+P17-T17</f>
        <v>-809453.25</v>
      </c>
      <c r="Y17" s="3"/>
      <c r="Z17" s="20">
        <f>IF(T17=0,0,X17/T17)</f>
        <v>-0.72801986048553047</v>
      </c>
    </row>
    <row r="18" spans="1:26" ht="15" customHeight="1" x14ac:dyDescent="0.3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x14ac:dyDescent="0.3">
      <c r="A19" s="11"/>
      <c r="B19" s="27" t="s">
        <v>289</v>
      </c>
      <c r="C19" s="27"/>
      <c r="D19" s="21">
        <f>D12-D16</f>
        <v>19024</v>
      </c>
      <c r="E19" s="15"/>
      <c r="F19" s="23">
        <f>IF(D$12=0,0,D19/D$12)</f>
        <v>-5.0070668495011095</v>
      </c>
      <c r="G19" s="15"/>
      <c r="H19" s="21">
        <f>H12-H16</f>
        <v>332</v>
      </c>
      <c r="I19" s="15"/>
      <c r="J19" s="23">
        <f>IF(H$12=0,0,H19/H$12)</f>
        <v>0.27483443708609273</v>
      </c>
      <c r="K19" s="17"/>
      <c r="L19" s="21">
        <f>+D19-H19</f>
        <v>18692</v>
      </c>
      <c r="M19" s="17"/>
      <c r="N19" s="23">
        <f>IF(H19=0,0,L19/H19)</f>
        <v>56.30120481927711</v>
      </c>
      <c r="O19" s="28"/>
      <c r="P19" s="21">
        <f>P12-P16</f>
        <v>132609.45999999996</v>
      </c>
      <c r="Q19" s="15"/>
      <c r="R19" s="23">
        <f>IF(P$12=0,0,P19/P$12)</f>
        <v>0.30484077676808191</v>
      </c>
      <c r="S19" s="15"/>
      <c r="T19" s="21">
        <f>T12-T16</f>
        <v>421738</v>
      </c>
      <c r="U19" s="15"/>
      <c r="V19" s="23">
        <f>IF(T$12=0,0,T19/T$12)</f>
        <v>0.27499977177792817</v>
      </c>
      <c r="W19" s="17"/>
      <c r="X19" s="21">
        <f>+P19-T19</f>
        <v>-289128.54000000004</v>
      </c>
      <c r="Y19" s="17"/>
      <c r="Z19" s="23">
        <f>IF(T19=0,0,X19/T19)</f>
        <v>-0.68556435512095193</v>
      </c>
    </row>
    <row r="20" spans="1:26" ht="15" customHeight="1" x14ac:dyDescent="0.3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5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3" customFormat="1" ht="15" customHeight="1" x14ac:dyDescent="0.3">
      <c r="A21" s="11"/>
      <c r="B21" s="28" t="s">
        <v>290</v>
      </c>
      <c r="C21" s="11"/>
      <c r="D21" s="22">
        <f>SUM(0)</f>
        <v>0</v>
      </c>
      <c r="E21" s="22"/>
      <c r="F21" s="33">
        <f>IF(D$12=0,0,D21/D$12)</f>
        <v>0</v>
      </c>
      <c r="G21" s="22"/>
      <c r="H21" s="22">
        <f>SUM(0)</f>
        <v>0</v>
      </c>
      <c r="I21" s="22"/>
      <c r="J21" s="33">
        <f>IF(H$12=0,0,H21/H$12)</f>
        <v>0</v>
      </c>
      <c r="K21" s="5"/>
      <c r="L21" s="22">
        <f>+D21-H21</f>
        <v>0</v>
      </c>
      <c r="M21" s="5"/>
      <c r="N21" s="33">
        <f>IF(H21=0,0,L21/H21)</f>
        <v>0</v>
      </c>
      <c r="O21" s="11"/>
      <c r="P21" s="22">
        <f>SUM(0)</f>
        <v>0</v>
      </c>
      <c r="Q21" s="22"/>
      <c r="R21" s="33">
        <f>IF(P$12=0,0,P21/P$12)</f>
        <v>0</v>
      </c>
      <c r="S21" s="22"/>
      <c r="T21" s="22">
        <f>SUM(0)</f>
        <v>0</v>
      </c>
      <c r="U21" s="22"/>
      <c r="V21" s="33">
        <f>IF(T$12=0,0,T21/T$12)</f>
        <v>0</v>
      </c>
      <c r="W21" s="5"/>
      <c r="X21" s="22">
        <f>+P21-T21</f>
        <v>0</v>
      </c>
      <c r="Y21" s="5"/>
      <c r="Z21" s="33">
        <f>IF(T21=0,0,X21/T21)</f>
        <v>0</v>
      </c>
    </row>
    <row r="22" spans="1:26" s="65" customFormat="1" ht="15" customHeight="1" x14ac:dyDescent="0.3">
      <c r="A22" s="35"/>
      <c r="B22" s="35"/>
      <c r="C22" s="35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3">
      <c r="A23" s="11"/>
      <c r="B23" s="28" t="s">
        <v>291</v>
      </c>
      <c r="C23" s="11"/>
      <c r="D23" s="5">
        <f>SUM(0)</f>
        <v>0</v>
      </c>
      <c r="E23" s="5"/>
      <c r="F23" s="13">
        <f>IF(D$12=0,0,D23/D$12)</f>
        <v>0</v>
      </c>
      <c r="G23" s="5"/>
      <c r="H23" s="5">
        <f>SUM(0)</f>
        <v>0</v>
      </c>
      <c r="I23" s="5"/>
      <c r="J23" s="13">
        <f>IF(H$12=0,0,H23/H$12)</f>
        <v>0</v>
      </c>
      <c r="K23" s="5"/>
      <c r="L23" s="5">
        <f>+D23-H23</f>
        <v>0</v>
      </c>
      <c r="M23" s="5"/>
      <c r="N23" s="13">
        <f>IF(H23=0,0,L23/H23)</f>
        <v>0</v>
      </c>
      <c r="O23" s="11"/>
      <c r="P23" s="5">
        <f>SUM(0)</f>
        <v>0</v>
      </c>
      <c r="Q23" s="5"/>
      <c r="R23" s="13">
        <f>IF(P$12=0,0,P23/P$12)</f>
        <v>0</v>
      </c>
      <c r="S23" s="5"/>
      <c r="T23" s="5">
        <f>SUM(0)</f>
        <v>0</v>
      </c>
      <c r="U23" s="5"/>
      <c r="V23" s="13">
        <f>IF(T$12=0,0,T23/T$12)</f>
        <v>0</v>
      </c>
      <c r="W23" s="5"/>
      <c r="X23" s="5">
        <f>+P23-T23</f>
        <v>0</v>
      </c>
      <c r="Y23" s="5"/>
      <c r="Z23" s="13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292</v>
      </c>
      <c r="C25" s="27"/>
      <c r="D25" s="21">
        <f>+D19-D21+D23</f>
        <v>19024</v>
      </c>
      <c r="E25" s="15"/>
      <c r="F25" s="23">
        <f>IF(D$12=0,0,D25/D$12)</f>
        <v>-5.0070668495011095</v>
      </c>
      <c r="G25" s="15"/>
      <c r="H25" s="21">
        <f>+H19-H21+H23</f>
        <v>332</v>
      </c>
      <c r="I25" s="15"/>
      <c r="J25" s="23">
        <f>IF(H$12=0,0,H25/H$12)</f>
        <v>0.27483443708609273</v>
      </c>
      <c r="K25" s="17"/>
      <c r="L25" s="21">
        <f>+D25-H25</f>
        <v>18692</v>
      </c>
      <c r="M25" s="17"/>
      <c r="N25" s="23">
        <f>IF(H25=0,0,L25/H25)</f>
        <v>56.30120481927711</v>
      </c>
      <c r="O25" s="28"/>
      <c r="P25" s="21">
        <f>+P19-P21+P23</f>
        <v>132609.45999999996</v>
      </c>
      <c r="Q25" s="15"/>
      <c r="R25" s="23">
        <f>IF(P$12=0,0,P25/P$12)</f>
        <v>0.30484077676808191</v>
      </c>
      <c r="S25" s="15"/>
      <c r="T25" s="21">
        <f>+T19-T21+T23</f>
        <v>421738</v>
      </c>
      <c r="U25" s="15"/>
      <c r="V25" s="23">
        <f>IF(T$12=0,0,T25/T$12)</f>
        <v>0.27499977177792817</v>
      </c>
      <c r="W25" s="17"/>
      <c r="X25" s="21">
        <f>+P25-T25</f>
        <v>-289128.54000000004</v>
      </c>
      <c r="Y25" s="17"/>
      <c r="Z25" s="23">
        <f>IF(T25=0,0,X25/T25)</f>
        <v>-0.68556435512095193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49"/>
      <c r="B27" s="11" t="s">
        <v>293</v>
      </c>
      <c r="C27" s="11"/>
      <c r="D27" s="5">
        <v>-3091.22</v>
      </c>
      <c r="E27" s="5"/>
      <c r="F27" s="13">
        <f>IF(D$12=0,0,D27/D$12)</f>
        <v>0.81360098751654852</v>
      </c>
      <c r="G27" s="5"/>
      <c r="H27" s="5">
        <v>2038</v>
      </c>
      <c r="I27" s="5"/>
      <c r="J27" s="13">
        <f>IF(H$12=0,0,H27/H$12)</f>
        <v>1.6870860927152318</v>
      </c>
      <c r="K27" s="5"/>
      <c r="L27" s="5">
        <f>+D27-H27</f>
        <v>-5129.2199999999993</v>
      </c>
      <c r="M27" s="5"/>
      <c r="N27" s="13">
        <f>IF(H27=0,0,L27/H27)</f>
        <v>-2.516790971540726</v>
      </c>
      <c r="O27" s="11"/>
      <c r="P27" s="5">
        <v>49279.87</v>
      </c>
      <c r="Q27" s="5"/>
      <c r="R27" s="13">
        <f>IF(P$12=0,0,P27/P$12)</f>
        <v>0.11328387771000728</v>
      </c>
      <c r="S27" s="5"/>
      <c r="T27" s="5">
        <v>188654</v>
      </c>
      <c r="U27" s="5"/>
      <c r="V27" s="13">
        <f>IF(T$12=0,0,T27/T$12)</f>
        <v>0.12301430495946124</v>
      </c>
      <c r="W27" s="5"/>
      <c r="X27" s="5">
        <f>+P27-T27</f>
        <v>-139374.13</v>
      </c>
      <c r="Y27" s="5"/>
      <c r="Z27" s="13">
        <f>IF(T27=0,0,X27/T27)</f>
        <v>-0.73878173799654401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11"/>
      <c r="B29" s="27" t="s">
        <v>294</v>
      </c>
      <c r="C29" s="27"/>
      <c r="D29" s="29">
        <f>+D25-D27</f>
        <v>22115.22</v>
      </c>
      <c r="E29" s="15"/>
      <c r="F29" s="30">
        <f>IF(D$12=0,0,D29/D$12)</f>
        <v>-5.8206678370176581</v>
      </c>
      <c r="G29" s="15"/>
      <c r="H29" s="29">
        <f>+H25-H27</f>
        <v>-1706</v>
      </c>
      <c r="I29" s="15"/>
      <c r="J29" s="30">
        <f>IF(H$12=0,0,H29/H$12)</f>
        <v>-1.4122516556291391</v>
      </c>
      <c r="K29" s="17"/>
      <c r="L29" s="29">
        <f>D29-H29</f>
        <v>23821.22</v>
      </c>
      <c r="M29" s="17"/>
      <c r="N29" s="30">
        <f>IF(H29=0,0,L29/H29)</f>
        <v>-13.963200468933177</v>
      </c>
      <c r="O29" s="28"/>
      <c r="P29" s="29">
        <f>+P25-P27</f>
        <v>83329.589999999967</v>
      </c>
      <c r="Q29" s="15"/>
      <c r="R29" s="30">
        <f>IF(P$12=0,0,P29/P$12)</f>
        <v>0.19155689905807466</v>
      </c>
      <c r="S29" s="15"/>
      <c r="T29" s="29">
        <f>+T25-T27</f>
        <v>233084</v>
      </c>
      <c r="U29" s="15"/>
      <c r="V29" s="30">
        <f>IF(T$12=0,0,T29/T$12)</f>
        <v>0.15198546681846695</v>
      </c>
      <c r="W29" s="17"/>
      <c r="X29" s="29">
        <f>P29-T29</f>
        <v>-149754.41000000003</v>
      </c>
      <c r="Y29" s="17"/>
      <c r="Z29" s="30">
        <f>IF(T29=0,0,X29/T29)</f>
        <v>-0.64249116198452072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297</v>
      </c>
      <c r="C32" s="27"/>
      <c r="D32" s="32">
        <f>SUM(D29:D31)</f>
        <v>22115.22</v>
      </c>
      <c r="E32" s="15"/>
      <c r="F32" s="34">
        <f>IF(D$12=0,0,D32/D$12)</f>
        <v>-5.8206678370176581</v>
      </c>
      <c r="G32" s="15"/>
      <c r="H32" s="32">
        <f>SUM(H29:H31)</f>
        <v>-1706</v>
      </c>
      <c r="I32" s="15"/>
      <c r="J32" s="34">
        <f>IF(H$12=0,0,H32/H$12)</f>
        <v>-1.4122516556291391</v>
      </c>
      <c r="K32" s="17"/>
      <c r="L32" s="32">
        <f>+D32-H32</f>
        <v>23821.22</v>
      </c>
      <c r="M32" s="17"/>
      <c r="N32" s="34">
        <f>IF(H32=0,0,L32/H32)</f>
        <v>-13.963200468933177</v>
      </c>
      <c r="O32" s="28"/>
      <c r="P32" s="32">
        <f>SUM(P29:P31)</f>
        <v>83329.589999999967</v>
      </c>
      <c r="Q32" s="15"/>
      <c r="R32" s="34">
        <f>IF(P$12=0,0,P32/P$12)</f>
        <v>0.19155689905807466</v>
      </c>
      <c r="S32" s="15"/>
      <c r="T32" s="32">
        <f>SUM(T29:T31)</f>
        <v>233084</v>
      </c>
      <c r="U32" s="15"/>
      <c r="V32" s="34">
        <f>IF(T$12=0,0,T32/T$12)</f>
        <v>0.15198546681846695</v>
      </c>
      <c r="W32" s="17"/>
      <c r="X32" s="32">
        <f>+P32-T32</f>
        <v>-149754.41000000003</v>
      </c>
      <c r="Y32" s="17"/>
      <c r="Z32" s="34">
        <f>IF(T32=0,0,X32/T32)</f>
        <v>-0.64249116198452072</v>
      </c>
    </row>
    <row r="33" spans="1:24" ht="15" customHeight="1" x14ac:dyDescent="0.3">
      <c r="A33" s="10"/>
      <c r="C33" s="10"/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6">
        <v>44694.888552430559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0" t="s">
        <v>298</v>
      </c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A36" s="10"/>
      <c r="B36" s="51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4" ht="15" customHeight="1" x14ac:dyDescent="0.3"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7F762-47D7-1087-B236-62045A011D2E}">
  <sheetPr>
    <tabColor rgb="FFFFFF00"/>
    <outlinePr summaryBelow="0" summaryRight="0"/>
  </sheetPr>
  <dimension ref="A2:Z14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309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792207.32</v>
      </c>
      <c r="E12" s="5"/>
      <c r="F12" s="13"/>
      <c r="G12" s="5"/>
      <c r="H12" s="5">
        <f>SUM(OSRRefH13x_0)</f>
        <v>294278</v>
      </c>
      <c r="I12" s="5"/>
      <c r="J12" s="13"/>
      <c r="K12" s="5"/>
      <c r="L12" s="5">
        <f t="shared" ref="L12:L17" si="0">+D12-H12</f>
        <v>497929.31999999995</v>
      </c>
      <c r="M12" s="5"/>
      <c r="N12" s="13">
        <f t="shared" ref="N12:N17" si="1">IF(H12=0,0,L12/H12)</f>
        <v>1.6920371893243802</v>
      </c>
      <c r="O12" s="11"/>
      <c r="P12" s="5">
        <f>SUM(OSRRefP13x_0)</f>
        <v>4264440.9200000009</v>
      </c>
      <c r="Q12" s="5"/>
      <c r="R12" s="13"/>
      <c r="S12" s="5"/>
      <c r="T12" s="5">
        <f>SUM(OSRRefT13x_0)</f>
        <v>3162611</v>
      </c>
      <c r="U12" s="5"/>
      <c r="V12" s="13"/>
      <c r="W12" s="5"/>
      <c r="X12" s="5">
        <f t="shared" ref="X12:X17" si="2">+P12-T12</f>
        <v>1101829.9200000009</v>
      </c>
      <c r="Y12" s="5"/>
      <c r="Z12" s="13">
        <f t="shared" ref="Z12:Z17" si="3">IF(T12=0,0,X12/T12)</f>
        <v>0.34839248962328939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--698789.27</f>
        <v>698789.27</v>
      </c>
      <c r="E13" s="3"/>
      <c r="F13" s="20"/>
      <c r="G13" s="3"/>
      <c r="H13" s="3">
        <v>274085</v>
      </c>
      <c r="I13" s="3"/>
      <c r="J13" s="20"/>
      <c r="K13" s="3"/>
      <c r="L13" s="3">
        <f t="shared" si="0"/>
        <v>424704.27</v>
      </c>
      <c r="M13" s="3"/>
      <c r="N13" s="20">
        <f t="shared" si="1"/>
        <v>1.549534888811865</v>
      </c>
      <c r="O13" s="12"/>
      <c r="P13" s="3">
        <f>--3905386.77</f>
        <v>3905386.77</v>
      </c>
      <c r="Q13" s="3"/>
      <c r="R13" s="20"/>
      <c r="S13" s="3"/>
      <c r="T13" s="3">
        <v>3000672</v>
      </c>
      <c r="U13" s="3"/>
      <c r="V13" s="20"/>
      <c r="W13" s="3"/>
      <c r="X13" s="3">
        <f t="shared" si="2"/>
        <v>904714.77</v>
      </c>
      <c r="Y13" s="3"/>
      <c r="Z13" s="20">
        <f t="shared" si="3"/>
        <v>0.30150405309210737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--131829.62</f>
        <v>131829.62</v>
      </c>
      <c r="E14" s="3"/>
      <c r="F14" s="20"/>
      <c r="G14" s="3"/>
      <c r="H14" s="3">
        <v>20193</v>
      </c>
      <c r="I14" s="3"/>
      <c r="J14" s="20"/>
      <c r="K14" s="3"/>
      <c r="L14" s="3">
        <f t="shared" si="0"/>
        <v>111636.62</v>
      </c>
      <c r="M14" s="3"/>
      <c r="N14" s="20">
        <f t="shared" si="1"/>
        <v>5.5284811568365271</v>
      </c>
      <c r="O14" s="12"/>
      <c r="P14" s="3">
        <f>--579049.41</f>
        <v>579049.41</v>
      </c>
      <c r="Q14" s="3"/>
      <c r="R14" s="20"/>
      <c r="S14" s="3"/>
      <c r="T14" s="3">
        <v>161939</v>
      </c>
      <c r="U14" s="3"/>
      <c r="V14" s="20"/>
      <c r="W14" s="3"/>
      <c r="X14" s="3">
        <f t="shared" si="2"/>
        <v>417110.41000000003</v>
      </c>
      <c r="Y14" s="3"/>
      <c r="Z14" s="20">
        <f t="shared" si="3"/>
        <v>2.5757254892274255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-22520.79</f>
        <v>-22520.79</v>
      </c>
      <c r="E15" s="3"/>
      <c r="F15" s="20"/>
      <c r="G15" s="3"/>
      <c r="H15" s="3"/>
      <c r="I15" s="3"/>
      <c r="J15" s="20"/>
      <c r="K15" s="3"/>
      <c r="L15" s="3">
        <f t="shared" si="0"/>
        <v>-22520.79</v>
      </c>
      <c r="M15" s="3"/>
      <c r="N15" s="20">
        <f t="shared" si="1"/>
        <v>0</v>
      </c>
      <c r="O15" s="12"/>
      <c r="P15" s="3">
        <f>-117727.77</f>
        <v>-117727.77</v>
      </c>
      <c r="Q15" s="3"/>
      <c r="R15" s="20"/>
      <c r="S15" s="3"/>
      <c r="T15" s="3"/>
      <c r="U15" s="3"/>
      <c r="V15" s="20"/>
      <c r="W15" s="3"/>
      <c r="X15" s="3">
        <f t="shared" si="2"/>
        <v>-117727.77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-1251.61</f>
        <v>-1251.6099999999999</v>
      </c>
      <c r="E16" s="3"/>
      <c r="F16" s="20"/>
      <c r="G16" s="3"/>
      <c r="H16" s="3"/>
      <c r="I16" s="3"/>
      <c r="J16" s="20"/>
      <c r="K16" s="3"/>
      <c r="L16" s="3">
        <f t="shared" si="0"/>
        <v>-1251.6099999999999</v>
      </c>
      <c r="M16" s="3"/>
      <c r="N16" s="20">
        <f t="shared" si="1"/>
        <v>0</v>
      </c>
      <c r="O16" s="12"/>
      <c r="P16" s="3">
        <f>-3150.14</f>
        <v>-3150.14</v>
      </c>
      <c r="Q16" s="3"/>
      <c r="R16" s="20"/>
      <c r="S16" s="3"/>
      <c r="T16" s="3"/>
      <c r="U16" s="3"/>
      <c r="V16" s="20"/>
      <c r="W16" s="3"/>
      <c r="X16" s="3">
        <f t="shared" si="2"/>
        <v>-3150.14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-14639.17</f>
        <v>-14639.17</v>
      </c>
      <c r="E17" s="3"/>
      <c r="F17" s="20"/>
      <c r="G17" s="3"/>
      <c r="H17" s="3"/>
      <c r="I17" s="3"/>
      <c r="J17" s="20"/>
      <c r="K17" s="3"/>
      <c r="L17" s="3">
        <f t="shared" si="0"/>
        <v>-14639.17</v>
      </c>
      <c r="M17" s="3"/>
      <c r="N17" s="20">
        <f t="shared" si="1"/>
        <v>0</v>
      </c>
      <c r="O17" s="12"/>
      <c r="P17" s="3">
        <f>-99117.35</f>
        <v>-99117.35</v>
      </c>
      <c r="Q17" s="3"/>
      <c r="R17" s="20"/>
      <c r="S17" s="3"/>
      <c r="T17" s="3"/>
      <c r="U17" s="3"/>
      <c r="V17" s="20"/>
      <c r="W17" s="3"/>
      <c r="X17" s="3">
        <f t="shared" si="2"/>
        <v>-99117.35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353400.32000000001</v>
      </c>
      <c r="E19" s="5"/>
      <c r="F19" s="13">
        <f t="shared" ref="F19:F40" si="4">IF(D$12=0,0,D19/D$12)</f>
        <v>0.44609575180395966</v>
      </c>
      <c r="G19" s="5"/>
      <c r="H19" s="5">
        <f>SUM(OSRRefH16x_0)</f>
        <v>143265</v>
      </c>
      <c r="I19" s="5"/>
      <c r="J19" s="13">
        <f t="shared" ref="J19:J40" si="5">IF(H$12=0,0,H19/H$12)</f>
        <v>0.48683557724328697</v>
      </c>
      <c r="K19" s="5"/>
      <c r="L19" s="5">
        <f t="shared" ref="L19:L40" si="6">+D19-H19</f>
        <v>210135.32</v>
      </c>
      <c r="M19" s="5"/>
      <c r="N19" s="13">
        <f t="shared" ref="N19:N40" si="7">IF(H19=0,0,L19/H19)</f>
        <v>1.4667596412243047</v>
      </c>
      <c r="O19" s="11"/>
      <c r="P19" s="5">
        <f>SUM(OSRRefP16x_0)</f>
        <v>2018528.38</v>
      </c>
      <c r="Q19" s="5"/>
      <c r="R19" s="13">
        <f t="shared" ref="R19:R40" si="8">IF(P$12=0,0,P19/P$12)</f>
        <v>0.47333951105600014</v>
      </c>
      <c r="S19" s="5"/>
      <c r="T19" s="5">
        <f>SUM(OSRRefT16x_0)</f>
        <v>1626349</v>
      </c>
      <c r="U19" s="5"/>
      <c r="V19" s="13">
        <f t="shared" ref="V19:V40" si="9">IF(T$12=0,0,T19/T$12)</f>
        <v>0.51424250405756511</v>
      </c>
      <c r="W19" s="5"/>
      <c r="X19" s="5">
        <f t="shared" ref="X19:X40" si="10">+P19-T19</f>
        <v>392179.37999999989</v>
      </c>
      <c r="Y19" s="5"/>
      <c r="Z19" s="13">
        <f t="shared" ref="Z19:Z40" si="11">IF(T19=0,0,X19/T19)</f>
        <v>0.24114097281702751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343115.75</v>
      </c>
      <c r="E20" s="3"/>
      <c r="F20" s="20">
        <f t="shared" si="4"/>
        <v>0.43311358193458754</v>
      </c>
      <c r="G20" s="3"/>
      <c r="H20" s="3">
        <v>143265</v>
      </c>
      <c r="I20" s="3"/>
      <c r="J20" s="20">
        <f t="shared" si="5"/>
        <v>0.48683557724328697</v>
      </c>
      <c r="K20" s="3"/>
      <c r="L20" s="3">
        <f t="shared" si="6"/>
        <v>199850.75</v>
      </c>
      <c r="M20" s="3"/>
      <c r="N20" s="20">
        <f t="shared" si="7"/>
        <v>1.3949726032178131</v>
      </c>
      <c r="O20" s="12"/>
      <c r="P20" s="3">
        <v>2259734.52</v>
      </c>
      <c r="Q20" s="3"/>
      <c r="R20" s="20">
        <f t="shared" si="8"/>
        <v>0.5299017063179291</v>
      </c>
      <c r="S20" s="3"/>
      <c r="T20" s="3">
        <v>1626349</v>
      </c>
      <c r="U20" s="3"/>
      <c r="V20" s="20">
        <f t="shared" si="9"/>
        <v>0.51424250405756511</v>
      </c>
      <c r="W20" s="3"/>
      <c r="X20" s="3">
        <f t="shared" si="10"/>
        <v>633385.52</v>
      </c>
      <c r="Y20" s="3"/>
      <c r="Z20" s="20">
        <f t="shared" si="11"/>
        <v>0.389452399208288</v>
      </c>
    </row>
    <row r="21" spans="1:26" s="70" customFormat="1" ht="15" hidden="1" customHeight="1" outlineLevel="1" x14ac:dyDescent="0.3">
      <c r="A21" s="42"/>
      <c r="B21" s="12" t="str">
        <f>CONCATENATE("          ","5026"," - ","PURCHASES @ COST-WRITING INSTR")</f>
        <v xml:space="preserve">          5026 - PURCHASES @ COST-WRITING INSTR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","5027"," - ","PURCHASES @ COST-SCHOOL SUPPLI")</f>
        <v xml:space="preserve">          5027 - PURCHASES @ COST-SCHOOL SUPPLI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","5028"," - ","PURCHASES @ COST-ART/TECH")</f>
        <v xml:space="preserve">          5028 - PURCHASES @ COST-ART/TECH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","5031"," - ","PURCHASES @ COST-FOOD")</f>
        <v xml:space="preserve">          5031 - PURCHASES @ COST-FOOD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","5040"," - ","PURCHASES @ COST-LOGO CLOTHING")</f>
        <v xml:space="preserve">          5040 - PURCHASES @ COST-LOGO CLOTHING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","5041"," - ","PURCHASES @ COST-LOGO GIFTS")</f>
        <v xml:space="preserve">          5041 - PURCHASES @ COST-LOGO GIFTS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","5042"," - ","PURCHASES @ COST-EVERYDAY GIFT")</f>
        <v xml:space="preserve">          5042 - PURCHASES @ COST-EVERYDAY GIFT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","5043"," - ","PURCHASES @ COST-CARDS")</f>
        <v xml:space="preserve">          5043 - PURCHASES @ COST-CARDS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","5044"," - ","PURCHASES @ COST-ACCESSORIES")</f>
        <v xml:space="preserve">          5044 - PURCHASES @ COST-ACCESSORIES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","5045"," - ","PURCHASES @ COST-SPECIAL ORDER")</f>
        <v xml:space="preserve">          5045 - PURCHASES @ COST-SPECIAL ORDER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","5200"," - ","PURCHASES OFFSET")</f>
        <v xml:space="preserve">          5200 - PURCHASES OFFSET</v>
      </c>
      <c r="C31" s="12"/>
      <c r="D31" s="3">
        <v>-375708.7</v>
      </c>
      <c r="E31" s="3"/>
      <c r="F31" s="20">
        <f t="shared" si="4"/>
        <v>-0.47425552694968792</v>
      </c>
      <c r="G31" s="3"/>
      <c r="H31" s="3"/>
      <c r="I31" s="3"/>
      <c r="J31" s="20">
        <f t="shared" si="5"/>
        <v>0</v>
      </c>
      <c r="K31" s="3"/>
      <c r="L31" s="3">
        <f t="shared" si="6"/>
        <v>-375708.7</v>
      </c>
      <c r="M31" s="3"/>
      <c r="N31" s="20">
        <f t="shared" si="7"/>
        <v>0</v>
      </c>
      <c r="O31" s="12"/>
      <c r="P31" s="3">
        <v>-2366941.83</v>
      </c>
      <c r="Q31" s="3"/>
      <c r="R31" s="20">
        <f t="shared" si="8"/>
        <v>-0.55504153402598899</v>
      </c>
      <c r="S31" s="3"/>
      <c r="T31" s="3"/>
      <c r="U31" s="3"/>
      <c r="V31" s="20">
        <f t="shared" si="9"/>
        <v>0</v>
      </c>
      <c r="W31" s="3"/>
      <c r="X31" s="3">
        <f t="shared" si="10"/>
        <v>-2366941.83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","5300"," - ","COG$ OFFSET")</f>
        <v xml:space="preserve">          5300 - COG$ OFFSET</v>
      </c>
      <c r="C32" s="12"/>
      <c r="D32" s="3">
        <v>353400.32000000001</v>
      </c>
      <c r="E32" s="3"/>
      <c r="F32" s="20">
        <f t="shared" si="4"/>
        <v>0.44609575180395966</v>
      </c>
      <c r="G32" s="3"/>
      <c r="H32" s="3"/>
      <c r="I32" s="3"/>
      <c r="J32" s="20">
        <f t="shared" si="5"/>
        <v>0</v>
      </c>
      <c r="K32" s="3"/>
      <c r="L32" s="3">
        <f t="shared" si="6"/>
        <v>353400.32000000001</v>
      </c>
      <c r="M32" s="3"/>
      <c r="N32" s="20">
        <f t="shared" si="7"/>
        <v>0</v>
      </c>
      <c r="O32" s="12"/>
      <c r="P32" s="3">
        <v>2021528.38</v>
      </c>
      <c r="Q32" s="3"/>
      <c r="R32" s="20">
        <f t="shared" si="8"/>
        <v>0.47404300303918845</v>
      </c>
      <c r="S32" s="3"/>
      <c r="T32" s="3"/>
      <c r="U32" s="3"/>
      <c r="V32" s="20">
        <f t="shared" si="9"/>
        <v>0</v>
      </c>
      <c r="W32" s="3"/>
      <c r="X32" s="3">
        <f t="shared" si="10"/>
        <v>2021528.38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","5500"," - ","FREIGHT-IN")</f>
        <v xml:space="preserve">          5500 - FREIGHT-IN</v>
      </c>
      <c r="C33" s="12"/>
      <c r="D33" s="3">
        <v>32592.95</v>
      </c>
      <c r="E33" s="3"/>
      <c r="F33" s="20">
        <f t="shared" si="4"/>
        <v>4.1141945015100344E-2</v>
      </c>
      <c r="G33" s="3"/>
      <c r="H33" s="3"/>
      <c r="I33" s="3"/>
      <c r="J33" s="20">
        <f t="shared" si="5"/>
        <v>0</v>
      </c>
      <c r="K33" s="3"/>
      <c r="L33" s="3">
        <f t="shared" si="6"/>
        <v>32592.95</v>
      </c>
      <c r="M33" s="3"/>
      <c r="N33" s="20">
        <f t="shared" si="7"/>
        <v>0</v>
      </c>
      <c r="O33" s="12"/>
      <c r="P33" s="3">
        <v>104207.31</v>
      </c>
      <c r="Q33" s="3"/>
      <c r="R33" s="20">
        <f t="shared" si="8"/>
        <v>2.443633572487152E-2</v>
      </c>
      <c r="S33" s="3"/>
      <c r="T33" s="3"/>
      <c r="U33" s="3"/>
      <c r="V33" s="20">
        <f t="shared" si="9"/>
        <v>0</v>
      </c>
      <c r="W33" s="3"/>
      <c r="X33" s="3">
        <f t="shared" si="10"/>
        <v>104207.31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","5527"," - ","FREIGHT-IN-SCHOOL SUPPLIES")</f>
        <v xml:space="preserve">          5527 - FREIGHT-IN-SCHOOL SUPPLIES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","5528"," - ","FREIGHT-IN-ART/TECH")</f>
        <v xml:space="preserve">          5528 - FREIGHT-IN-ART/TECH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","5540"," - ","FREIGHT-IN-LOGO CLOTHING")</f>
        <v xml:space="preserve">          5540 - FREIGHT-IN-LOGO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","5541"," - ","FREIGHT-IN-LOGO GIFTS")</f>
        <v xml:space="preserve">          5541 - FREIGHT-IN-LOGO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","5542"," - ","FREIGHT-IN-EVERYDAY GIFTS")</f>
        <v xml:space="preserve">          5542 - FREIGHT-IN-EVERYDAY GIFTS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","5544"," - ","FREIGHT-IN-ACCESSORIES")</f>
        <v xml:space="preserve">          5544 - FREIGHT-IN-ACCESSORIES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","5545"," - ","FREIGHT-IN-SPECIAL ORDERS")</f>
        <v xml:space="preserve">          5545 - FREIGHT-IN-SPECIAL ORDERS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3" customFormat="1" ht="15" customHeight="1" x14ac:dyDescent="0.3">
      <c r="A42" s="11"/>
      <c r="B42" s="27" t="s">
        <v>289</v>
      </c>
      <c r="C42" s="27"/>
      <c r="D42" s="21">
        <f>D12-D19</f>
        <v>438806.99999999994</v>
      </c>
      <c r="E42" s="15"/>
      <c r="F42" s="23">
        <f>IF(D$12=0,0,D42/D$12)</f>
        <v>0.55390424819604034</v>
      </c>
      <c r="G42" s="15"/>
      <c r="H42" s="21">
        <f>H12-H19</f>
        <v>151013</v>
      </c>
      <c r="I42" s="15"/>
      <c r="J42" s="23">
        <f>IF(H$12=0,0,H42/H$12)</f>
        <v>0.51316442275671303</v>
      </c>
      <c r="K42" s="17"/>
      <c r="L42" s="21">
        <f>+D42-H42</f>
        <v>287793.99999999994</v>
      </c>
      <c r="M42" s="17"/>
      <c r="N42" s="23">
        <f>IF(H42=0,0,L42/H42)</f>
        <v>1.9057564580532798</v>
      </c>
      <c r="O42" s="28"/>
      <c r="P42" s="21">
        <f>P12-P19</f>
        <v>2245912.540000001</v>
      </c>
      <c r="Q42" s="15"/>
      <c r="R42" s="23">
        <f>IF(P$12=0,0,P42/P$12)</f>
        <v>0.52666048894399986</v>
      </c>
      <c r="S42" s="15"/>
      <c r="T42" s="21">
        <f>T12-T19</f>
        <v>1536262</v>
      </c>
      <c r="U42" s="15"/>
      <c r="V42" s="23">
        <f>IF(T$12=0,0,T42/T$12)</f>
        <v>0.48575749594243489</v>
      </c>
      <c r="W42" s="17"/>
      <c r="X42" s="21">
        <f>+P42-T42</f>
        <v>709650.54000000097</v>
      </c>
      <c r="Y42" s="17"/>
      <c r="Z42" s="23">
        <f>IF(T42=0,0,X42/T42)</f>
        <v>0.46193327700613629</v>
      </c>
    </row>
    <row r="43" spans="1:26" ht="15" customHeight="1" x14ac:dyDescent="0.3">
      <c r="A43" s="10"/>
      <c r="B43" s="11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5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3" customFormat="1" ht="15" customHeight="1" x14ac:dyDescent="0.3">
      <c r="A44" s="11"/>
      <c r="B44" s="28" t="s">
        <v>290</v>
      </c>
      <c r="C44" s="11"/>
      <c r="D44" s="22" cm="1">
        <f t="array" ref="D44">SUM(OSRRefD22x_0)</f>
        <v>153457.76</v>
      </c>
      <c r="E44" s="22"/>
      <c r="F44" s="33">
        <f t="shared" ref="F44:F75" si="12">IF(D$12=0,0,D44/D$12)</f>
        <v>0.19370909120102553</v>
      </c>
      <c r="G44" s="22"/>
      <c r="H44" s="22" cm="1">
        <f t="array" ref="H44">SUM(OSRRefH22x_0)</f>
        <v>148061.93929236536</v>
      </c>
      <c r="I44" s="22"/>
      <c r="J44" s="33">
        <f t="shared" ref="J44:J75" si="13">IF(H$12=0,0,H44/H$12)</f>
        <v>0.50313628369217323</v>
      </c>
      <c r="K44" s="5"/>
      <c r="L44" s="22">
        <f t="shared" ref="L44:L75" si="14">+D44-H44</f>
        <v>5395.8207076346444</v>
      </c>
      <c r="M44" s="5"/>
      <c r="N44" s="33">
        <f t="shared" ref="N44:N75" si="15">IF(H44=0,0,L44/H44)</f>
        <v>3.6442996312374201E-2</v>
      </c>
      <c r="O44" s="11"/>
      <c r="P44" s="22" cm="1">
        <f t="array" ref="P44">SUM(OSRRefP22x_0)</f>
        <v>1099847.2200000002</v>
      </c>
      <c r="Q44" s="22"/>
      <c r="R44" s="33">
        <f t="shared" ref="R44:R75" si="16">IF(P$12=0,0,P44/P$12)</f>
        <v>0.25791123400063426</v>
      </c>
      <c r="S44" s="22"/>
      <c r="T44" s="22" cm="1">
        <f t="array" ref="T44">SUM(OSRRefT22x_0)</f>
        <v>1216171.3039350158</v>
      </c>
      <c r="U44" s="22"/>
      <c r="V44" s="33">
        <f t="shared" ref="V44:V75" si="17">IF(T$12=0,0,T44/T$12)</f>
        <v>0.3845465989762939</v>
      </c>
      <c r="W44" s="5"/>
      <c r="X44" s="22">
        <f t="shared" ref="X44:X75" si="18">+P44-T44</f>
        <v>-116324.0839350156</v>
      </c>
      <c r="Y44" s="5"/>
      <c r="Z44" s="33">
        <f t="shared" ref="Z44:Z75" si="19">IF(T44=0,0,X44/T44)</f>
        <v>-9.5647778860297128E-2</v>
      </c>
    </row>
    <row r="45" spans="1:26" s="69" customFormat="1" ht="15" customHeight="1" outlineLevel="1" collapsed="1" x14ac:dyDescent="0.3">
      <c r="A45" s="25"/>
      <c r="B45" s="14" t="str">
        <f>CONCATENATE("     ","*Benefits                                         ")</f>
        <v xml:space="preserve">     *Benefits                                         </v>
      </c>
      <c r="C45" s="14"/>
      <c r="D45" s="2">
        <f>SUM(OSRRefD22_0x_0)</f>
        <v>14499.869999999999</v>
      </c>
      <c r="E45" s="2"/>
      <c r="F45" s="6">
        <f t="shared" si="12"/>
        <v>1.8303125500026936E-2</v>
      </c>
      <c r="G45" s="2"/>
      <c r="H45" s="2">
        <f>SUM(OSRRefH22_0x_0)</f>
        <v>24583.557176980768</v>
      </c>
      <c r="I45" s="2"/>
      <c r="J45" s="6">
        <f t="shared" si="13"/>
        <v>8.3538549184719105E-2</v>
      </c>
      <c r="K45" s="2"/>
      <c r="L45" s="2">
        <f t="shared" si="14"/>
        <v>-10083.687176980769</v>
      </c>
      <c r="M45" s="2"/>
      <c r="N45" s="6">
        <f t="shared" si="15"/>
        <v>-0.41018015026819638</v>
      </c>
      <c r="O45" s="14"/>
      <c r="P45" s="2">
        <f>SUM(OSRRefP22_0x_0)</f>
        <v>147639.98000000001</v>
      </c>
      <c r="Q45" s="2"/>
      <c r="R45" s="6">
        <f t="shared" si="16"/>
        <v>3.4621180776025377E-2</v>
      </c>
      <c r="S45" s="2"/>
      <c r="T45" s="2">
        <f>SUM(OSRRefT22_0x_0)</f>
        <v>218253.77831963077</v>
      </c>
      <c r="U45" s="2"/>
      <c r="V45" s="6">
        <f t="shared" si="17"/>
        <v>6.901063024179413E-2</v>
      </c>
      <c r="W45" s="2"/>
      <c r="X45" s="2">
        <f t="shared" si="18"/>
        <v>-70613.798319630761</v>
      </c>
      <c r="Y45" s="2"/>
      <c r="Z45" s="6">
        <f t="shared" si="19"/>
        <v>-0.32353986658694844</v>
      </c>
    </row>
    <row r="46" spans="1:26" s="70" customFormat="1" ht="15" hidden="1" customHeight="1" outlineLevel="2" x14ac:dyDescent="0.3">
      <c r="A46" s="26"/>
      <c r="B46" s="12" t="str">
        <f>CONCATENATE("          ","6111"," - ","F.I.C.A.")</f>
        <v xml:space="preserve">          6111 - F.I.C.A.</v>
      </c>
      <c r="C46" s="12"/>
      <c r="D46" s="7">
        <v>3266.66</v>
      </c>
      <c r="E46" s="3"/>
      <c r="F46" s="8">
        <f t="shared" si="12"/>
        <v>4.1234913103302302E-3</v>
      </c>
      <c r="G46" s="3"/>
      <c r="H46" s="7">
        <v>6482.5952149615396</v>
      </c>
      <c r="I46" s="3"/>
      <c r="J46" s="8">
        <f t="shared" si="13"/>
        <v>2.2028813621682693E-2</v>
      </c>
      <c r="K46" s="3"/>
      <c r="L46" s="7">
        <f t="shared" si="14"/>
        <v>-3215.9352149615397</v>
      </c>
      <c r="M46" s="3"/>
      <c r="N46" s="8">
        <f t="shared" si="15"/>
        <v>-0.49608761743125734</v>
      </c>
      <c r="O46" s="12"/>
      <c r="P46" s="7">
        <v>27470.28</v>
      </c>
      <c r="Q46" s="3"/>
      <c r="R46" s="8">
        <f t="shared" si="16"/>
        <v>6.4417072519789989E-3</v>
      </c>
      <c r="S46" s="3"/>
      <c r="T46" s="7">
        <v>52502.562256361503</v>
      </c>
      <c r="U46" s="3"/>
      <c r="V46" s="8">
        <f t="shared" si="17"/>
        <v>1.660101803742588E-2</v>
      </c>
      <c r="W46" s="3"/>
      <c r="X46" s="7">
        <f t="shared" si="18"/>
        <v>-25032.282256361505</v>
      </c>
      <c r="Y46" s="3"/>
      <c r="Z46" s="8">
        <f t="shared" si="19"/>
        <v>-0.4767821070166619</v>
      </c>
    </row>
    <row r="47" spans="1:26" s="70" customFormat="1" ht="15" hidden="1" customHeight="1" outlineLevel="2" x14ac:dyDescent="0.3">
      <c r="A47" s="26"/>
      <c r="B47" s="12" t="str">
        <f>CONCATENATE("          ","6112"," - ","COMPENSATION INSURANCE")</f>
        <v xml:space="preserve">          6112 - COMPENSATION INSURANCE</v>
      </c>
      <c r="C47" s="12"/>
      <c r="D47" s="7">
        <v>1108.6199999999999</v>
      </c>
      <c r="E47" s="3"/>
      <c r="F47" s="8">
        <f t="shared" si="12"/>
        <v>1.3994064079084752E-3</v>
      </c>
      <c r="G47" s="3"/>
      <c r="H47" s="7">
        <v>1497.585975</v>
      </c>
      <c r="I47" s="3"/>
      <c r="J47" s="8">
        <f t="shared" si="13"/>
        <v>5.0890177825049778E-3</v>
      </c>
      <c r="K47" s="3"/>
      <c r="L47" s="7">
        <f t="shared" si="14"/>
        <v>-388.96597500000007</v>
      </c>
      <c r="M47" s="3"/>
      <c r="N47" s="8">
        <f t="shared" si="15"/>
        <v>-0.25972864429369413</v>
      </c>
      <c r="O47" s="12"/>
      <c r="P47" s="7">
        <v>10201.370000000001</v>
      </c>
      <c r="Q47" s="3"/>
      <c r="R47" s="8">
        <f t="shared" si="16"/>
        <v>2.3921940041790987E-3</v>
      </c>
      <c r="S47" s="3"/>
      <c r="T47" s="7">
        <v>12879.15351</v>
      </c>
      <c r="U47" s="3"/>
      <c r="V47" s="8">
        <f t="shared" si="17"/>
        <v>4.0723166744187E-3</v>
      </c>
      <c r="W47" s="3"/>
      <c r="X47" s="7">
        <f t="shared" si="18"/>
        <v>-2677.7835099999993</v>
      </c>
      <c r="Y47" s="3"/>
      <c r="Z47" s="8">
        <f t="shared" si="19"/>
        <v>-0.20791611094012027</v>
      </c>
    </row>
    <row r="48" spans="1:26" s="70" customFormat="1" ht="15" hidden="1" customHeight="1" outlineLevel="2" x14ac:dyDescent="0.3">
      <c r="A48" s="26"/>
      <c r="B48" s="12" t="str">
        <f>CONCATENATE("          ","6113"," - ","GROUP INSURANCE")</f>
        <v xml:space="preserve">          6113 - GROUP INSURANCE</v>
      </c>
      <c r="C48" s="12"/>
      <c r="D48" s="7">
        <v>3834.79</v>
      </c>
      <c r="E48" s="3"/>
      <c r="F48" s="8">
        <f t="shared" si="12"/>
        <v>4.8406394427155759E-3</v>
      </c>
      <c r="G48" s="3"/>
      <c r="H48" s="7">
        <v>8382.1538461538494</v>
      </c>
      <c r="I48" s="3"/>
      <c r="J48" s="8">
        <f t="shared" si="13"/>
        <v>2.8483793712590983E-2</v>
      </c>
      <c r="K48" s="3"/>
      <c r="L48" s="7">
        <f t="shared" si="14"/>
        <v>-4547.3638461538494</v>
      </c>
      <c r="M48" s="3"/>
      <c r="N48" s="8">
        <f t="shared" si="15"/>
        <v>-0.54250541443359535</v>
      </c>
      <c r="O48" s="12"/>
      <c r="P48" s="7">
        <v>45991.61</v>
      </c>
      <c r="Q48" s="3"/>
      <c r="R48" s="8">
        <f t="shared" si="16"/>
        <v>1.0784909642973782E-2</v>
      </c>
      <c r="S48" s="3"/>
      <c r="T48" s="7">
        <v>80166.153846153902</v>
      </c>
      <c r="U48" s="3"/>
      <c r="V48" s="8">
        <f t="shared" si="17"/>
        <v>2.5348091765365358E-2</v>
      </c>
      <c r="W48" s="3"/>
      <c r="X48" s="7">
        <f t="shared" si="18"/>
        <v>-34174.543846153902</v>
      </c>
      <c r="Y48" s="3"/>
      <c r="Z48" s="8">
        <f t="shared" si="19"/>
        <v>-0.42629641321870004</v>
      </c>
    </row>
    <row r="49" spans="1:26" s="70" customFormat="1" ht="15" hidden="1" customHeight="1" outlineLevel="2" x14ac:dyDescent="0.3">
      <c r="A49" s="26"/>
      <c r="B49" s="12" t="str">
        <f>CONCATENATE("          ","6114"," - ","STATE UNEMPLOYMENT INSURANCE")</f>
        <v xml:space="preserve">          6114 - STATE UNEMPLOYMENT INSURANCE</v>
      </c>
      <c r="C49" s="12"/>
      <c r="D49" s="7">
        <v>194.76</v>
      </c>
      <c r="E49" s="3"/>
      <c r="F49" s="8">
        <f t="shared" si="12"/>
        <v>2.4584473670351845E-4</v>
      </c>
      <c r="G49" s="3"/>
      <c r="H49" s="7">
        <v>201.598112019231</v>
      </c>
      <c r="I49" s="3"/>
      <c r="J49" s="8">
        <f t="shared" si="13"/>
        <v>6.8506008610644015E-4</v>
      </c>
      <c r="K49" s="3"/>
      <c r="L49" s="7">
        <f t="shared" si="14"/>
        <v>-6.838112019231005</v>
      </c>
      <c r="M49" s="3"/>
      <c r="N49" s="8">
        <f t="shared" si="15"/>
        <v>-3.3919524100397822E-2</v>
      </c>
      <c r="O49" s="12"/>
      <c r="P49" s="7">
        <v>1793.28</v>
      </c>
      <c r="Q49" s="3"/>
      <c r="R49" s="8">
        <f t="shared" si="16"/>
        <v>4.2051936787061868E-4</v>
      </c>
      <c r="S49" s="3"/>
      <c r="T49" s="7">
        <v>1733.73220326923</v>
      </c>
      <c r="U49" s="3"/>
      <c r="V49" s="8">
        <f t="shared" si="17"/>
        <v>5.4819647540251708E-4</v>
      </c>
      <c r="W49" s="3"/>
      <c r="X49" s="7">
        <f t="shared" si="18"/>
        <v>59.54779673076996</v>
      </c>
      <c r="Y49" s="3"/>
      <c r="Z49" s="8">
        <f t="shared" si="19"/>
        <v>3.4346594369351301E-2</v>
      </c>
    </row>
    <row r="50" spans="1:26" s="70" customFormat="1" ht="15" hidden="1" customHeight="1" outlineLevel="2" x14ac:dyDescent="0.3">
      <c r="A50" s="26"/>
      <c r="B50" s="12" t="str">
        <f>CONCATENATE("          ","6115"," - ","P.E.R.S.")</f>
        <v xml:space="preserve">          6115 - P.E.R.S.</v>
      </c>
      <c r="C50" s="12"/>
      <c r="D50" s="7">
        <v>1549.91</v>
      </c>
      <c r="E50" s="3"/>
      <c r="F50" s="8">
        <f t="shared" si="12"/>
        <v>1.9564449366612771E-3</v>
      </c>
      <c r="G50" s="3"/>
      <c r="H50" s="7">
        <v>1766.6798076923101</v>
      </c>
      <c r="I50" s="3"/>
      <c r="J50" s="8">
        <f t="shared" si="13"/>
        <v>6.0034382716081733E-3</v>
      </c>
      <c r="K50" s="3"/>
      <c r="L50" s="7">
        <f t="shared" si="14"/>
        <v>-216.76980769231</v>
      </c>
      <c r="M50" s="3"/>
      <c r="N50" s="8">
        <f t="shared" si="15"/>
        <v>-0.12269897847276649</v>
      </c>
      <c r="O50" s="12"/>
      <c r="P50" s="7">
        <v>16134.89</v>
      </c>
      <c r="Q50" s="3"/>
      <c r="R50" s="8">
        <f t="shared" si="16"/>
        <v>3.783588588208181E-3</v>
      </c>
      <c r="S50" s="3"/>
      <c r="T50" s="7">
        <v>15546.7823076923</v>
      </c>
      <c r="U50" s="3"/>
      <c r="V50" s="8">
        <f t="shared" si="17"/>
        <v>4.9158060563541644E-3</v>
      </c>
      <c r="W50" s="3"/>
      <c r="X50" s="7">
        <f t="shared" si="18"/>
        <v>588.10769230769984</v>
      </c>
      <c r="Y50" s="3"/>
      <c r="Z50" s="8">
        <f t="shared" si="19"/>
        <v>3.7828258006591724E-2</v>
      </c>
    </row>
    <row r="51" spans="1:26" s="70" customFormat="1" ht="15" hidden="1" customHeight="1" outlineLevel="2" x14ac:dyDescent="0.3">
      <c r="A51" s="26"/>
      <c r="B51" s="12" t="str">
        <f>CONCATENATE("          ","6116"," - ","EDUCATIONAL BENEFITS")</f>
        <v xml:space="preserve">          6116 - EDUCATIONAL BENEFITS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","6118"," - ","VACATION")</f>
        <v xml:space="preserve">          6118 - VACATION</v>
      </c>
      <c r="C52" s="12"/>
      <c r="D52" s="7">
        <v>1942.47</v>
      </c>
      <c r="E52" s="3"/>
      <c r="F52" s="8">
        <f t="shared" si="12"/>
        <v>2.4519717894048243E-3</v>
      </c>
      <c r="G52" s="3"/>
      <c r="H52" s="7">
        <v>1542.1394230769199</v>
      </c>
      <c r="I52" s="3"/>
      <c r="J52" s="8">
        <f t="shared" si="13"/>
        <v>5.2404169631332272E-3</v>
      </c>
      <c r="K52" s="3"/>
      <c r="L52" s="7">
        <f t="shared" si="14"/>
        <v>400.33057692308012</v>
      </c>
      <c r="M52" s="3"/>
      <c r="N52" s="8">
        <f t="shared" si="15"/>
        <v>0.25959428241859567</v>
      </c>
      <c r="O52" s="12"/>
      <c r="P52" s="7">
        <v>20189.5</v>
      </c>
      <c r="Q52" s="3"/>
      <c r="R52" s="8">
        <f t="shared" si="16"/>
        <v>4.7343837981931747E-3</v>
      </c>
      <c r="S52" s="3"/>
      <c r="T52" s="7">
        <v>13570.8269230769</v>
      </c>
      <c r="U52" s="3"/>
      <c r="V52" s="8">
        <f t="shared" si="17"/>
        <v>4.2910199588494756E-3</v>
      </c>
      <c r="W52" s="3"/>
      <c r="X52" s="7">
        <f t="shared" si="18"/>
        <v>6618.6730769230999</v>
      </c>
      <c r="Y52" s="3"/>
      <c r="Z52" s="8">
        <f t="shared" si="19"/>
        <v>0.48771332170394038</v>
      </c>
    </row>
    <row r="53" spans="1:26" s="70" customFormat="1" ht="15" hidden="1" customHeight="1" outlineLevel="2" x14ac:dyDescent="0.3">
      <c r="A53" s="26"/>
      <c r="B53" s="12" t="str">
        <f>CONCATENATE("          ","6119"," - ","SICK LEAVE")</f>
        <v xml:space="preserve">          6119 - SICK LEAVE</v>
      </c>
      <c r="C53" s="12"/>
      <c r="D53" s="7">
        <v>1806.69</v>
      </c>
      <c r="E53" s="3"/>
      <c r="F53" s="8">
        <f t="shared" si="12"/>
        <v>2.280577261012938E-3</v>
      </c>
      <c r="G53" s="3"/>
      <c r="H53" s="7">
        <v>3835.8047980769202</v>
      </c>
      <c r="I53" s="3"/>
      <c r="J53" s="8">
        <f t="shared" si="13"/>
        <v>1.3034629833276426E-2</v>
      </c>
      <c r="K53" s="3"/>
      <c r="L53" s="7">
        <f t="shared" si="14"/>
        <v>-2029.1147980769201</v>
      </c>
      <c r="M53" s="3"/>
      <c r="N53" s="8">
        <f t="shared" si="15"/>
        <v>-0.52899323737595205</v>
      </c>
      <c r="O53" s="12"/>
      <c r="P53" s="7">
        <v>17644.57</v>
      </c>
      <c r="Q53" s="3"/>
      <c r="R53" s="8">
        <f t="shared" si="16"/>
        <v>4.1376045139347355E-3</v>
      </c>
      <c r="S53" s="3"/>
      <c r="T53" s="7">
        <v>33104.5672730769</v>
      </c>
      <c r="U53" s="3"/>
      <c r="V53" s="8">
        <f t="shared" si="17"/>
        <v>1.0467479962941032E-2</v>
      </c>
      <c r="W53" s="3"/>
      <c r="X53" s="7">
        <f t="shared" si="18"/>
        <v>-15459.9972730769</v>
      </c>
      <c r="Y53" s="3"/>
      <c r="Z53" s="8">
        <f t="shared" si="19"/>
        <v>-0.46700496476962322</v>
      </c>
    </row>
    <row r="54" spans="1:26" s="70" customFormat="1" ht="15" hidden="1" customHeight="1" outlineLevel="2" x14ac:dyDescent="0.3">
      <c r="A54" s="26"/>
      <c r="B54" s="12" t="str">
        <f>CONCATENATE("          ","6156"," - ","EMPLOYEE MEALS")</f>
        <v xml:space="preserve">          6156 - EMPLOYEE MEALS</v>
      </c>
      <c r="C54" s="12"/>
      <c r="D54" s="7">
        <v>795.97</v>
      </c>
      <c r="E54" s="3"/>
      <c r="F54" s="8">
        <f t="shared" si="12"/>
        <v>1.0047496152900987E-3</v>
      </c>
      <c r="G54" s="3"/>
      <c r="H54" s="7">
        <v>875</v>
      </c>
      <c r="I54" s="3"/>
      <c r="J54" s="8">
        <f t="shared" si="13"/>
        <v>2.9733789138161873E-3</v>
      </c>
      <c r="K54" s="3"/>
      <c r="L54" s="7">
        <f t="shared" si="14"/>
        <v>-79.029999999999973</v>
      </c>
      <c r="M54" s="3"/>
      <c r="N54" s="8">
        <f t="shared" si="15"/>
        <v>-9.031999999999997E-2</v>
      </c>
      <c r="O54" s="12"/>
      <c r="P54" s="7">
        <v>8214.48</v>
      </c>
      <c r="Q54" s="3"/>
      <c r="R54" s="8">
        <f t="shared" si="16"/>
        <v>1.9262736086867861E-3</v>
      </c>
      <c r="S54" s="3"/>
      <c r="T54" s="7">
        <v>8750</v>
      </c>
      <c r="U54" s="3"/>
      <c r="V54" s="8">
        <f t="shared" si="17"/>
        <v>2.7667013110369881E-3</v>
      </c>
      <c r="W54" s="3"/>
      <c r="X54" s="7">
        <f t="shared" si="18"/>
        <v>-535.52000000000044</v>
      </c>
      <c r="Y54" s="3"/>
      <c r="Z54" s="8">
        <f t="shared" si="19"/>
        <v>-6.1202285714285765E-2</v>
      </c>
    </row>
    <row r="55" spans="1:26" s="69" customFormat="1" ht="15" customHeight="1" outlineLevel="1" collapsed="1" x14ac:dyDescent="0.3">
      <c r="A55" s="25"/>
      <c r="B55" s="14" t="str">
        <f>CONCATENATE("     ","*Payroll                                          ")</f>
        <v xml:space="preserve">     *Payroll                                          </v>
      </c>
      <c r="C55" s="14"/>
      <c r="D55" s="2">
        <f>SUM(OSRRefD22_1x_0)</f>
        <v>93064.69</v>
      </c>
      <c r="E55" s="2"/>
      <c r="F55" s="6">
        <f t="shared" si="12"/>
        <v>0.11747517051470821</v>
      </c>
      <c r="G55" s="2"/>
      <c r="H55" s="2">
        <f>SUM(OSRRefH22_1x_0)</f>
        <v>92067.382115384593</v>
      </c>
      <c r="I55" s="2"/>
      <c r="J55" s="6">
        <f t="shared" si="13"/>
        <v>0.31285852872244813</v>
      </c>
      <c r="K55" s="2"/>
      <c r="L55" s="2">
        <f t="shared" si="14"/>
        <v>997.30788461540942</v>
      </c>
      <c r="M55" s="2"/>
      <c r="N55" s="6">
        <f t="shared" si="15"/>
        <v>1.0832369311484505E-2</v>
      </c>
      <c r="O55" s="14"/>
      <c r="P55" s="2">
        <f>SUM(OSRRefP22_1x_0)</f>
        <v>714768.06</v>
      </c>
      <c r="Q55" s="2"/>
      <c r="R55" s="6">
        <f t="shared" si="16"/>
        <v>0.1676112000163435</v>
      </c>
      <c r="S55" s="2"/>
      <c r="T55" s="2">
        <f>SUM(OSRRefT22_1x_0)</f>
        <v>791173.52561538504</v>
      </c>
      <c r="U55" s="2"/>
      <c r="V55" s="6">
        <f t="shared" si="17"/>
        <v>0.25016466635175338</v>
      </c>
      <c r="W55" s="2"/>
      <c r="X55" s="2">
        <f t="shared" si="18"/>
        <v>-76405.465615384979</v>
      </c>
      <c r="Y55" s="2"/>
      <c r="Z55" s="6">
        <f t="shared" si="19"/>
        <v>-9.6572323443148353E-2</v>
      </c>
    </row>
    <row r="56" spans="1:26" s="70" customFormat="1" ht="15" hidden="1" customHeight="1" outlineLevel="2" x14ac:dyDescent="0.3">
      <c r="A56" s="26"/>
      <c r="B56" s="12" t="str">
        <f>CONCATENATE("          ","6001"," - ","ADMINISTRATIVE SALARIES")</f>
        <v xml:space="preserve">          6001 - ADMINISTRATIVE SALARIES</v>
      </c>
      <c r="C56" s="12"/>
      <c r="D56" s="7"/>
      <c r="E56" s="3"/>
      <c r="F56" s="8">
        <f t="shared" si="12"/>
        <v>0</v>
      </c>
      <c r="G56" s="3"/>
      <c r="H56" s="7">
        <v>0</v>
      </c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/>
      <c r="Q56" s="3"/>
      <c r="R56" s="8">
        <f t="shared" si="16"/>
        <v>0</v>
      </c>
      <c r="S56" s="3"/>
      <c r="T56" s="7">
        <v>0</v>
      </c>
      <c r="U56" s="3"/>
      <c r="V56" s="8">
        <f t="shared" si="17"/>
        <v>0</v>
      </c>
      <c r="W56" s="3"/>
      <c r="X56" s="7">
        <f t="shared" si="18"/>
        <v>0</v>
      </c>
      <c r="Y56" s="3"/>
      <c r="Z56" s="8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","6002"," - ","STAFF SALARIES")</f>
        <v xml:space="preserve">          6002 - STAFF SALARIES</v>
      </c>
      <c r="C57" s="12"/>
      <c r="D57" s="7">
        <v>14236.38</v>
      </c>
      <c r="E57" s="3"/>
      <c r="F57" s="8">
        <f t="shared" si="12"/>
        <v>1.7970523170626598E-2</v>
      </c>
      <c r="G57" s="3"/>
      <c r="H57" s="7">
        <v>18488.509615384599</v>
      </c>
      <c r="I57" s="3"/>
      <c r="J57" s="8">
        <f t="shared" si="13"/>
        <v>6.2826679586597017E-2</v>
      </c>
      <c r="K57" s="3"/>
      <c r="L57" s="7">
        <f t="shared" si="14"/>
        <v>-4252.1296153845997</v>
      </c>
      <c r="M57" s="3"/>
      <c r="N57" s="8">
        <f t="shared" si="15"/>
        <v>-0.22998768985934548</v>
      </c>
      <c r="O57" s="12"/>
      <c r="P57" s="7">
        <v>157889.51999999999</v>
      </c>
      <c r="Q57" s="3"/>
      <c r="R57" s="8">
        <f t="shared" si="16"/>
        <v>3.7024670516481201E-2</v>
      </c>
      <c r="S57" s="3"/>
      <c r="T57" s="7">
        <v>162698.884615385</v>
      </c>
      <c r="U57" s="3"/>
      <c r="V57" s="8">
        <f t="shared" si="17"/>
        <v>5.1444481985101868E-2</v>
      </c>
      <c r="W57" s="3"/>
      <c r="X57" s="7">
        <f t="shared" si="18"/>
        <v>-4809.3646153850132</v>
      </c>
      <c r="Y57" s="3"/>
      <c r="Z57" s="8">
        <f t="shared" si="19"/>
        <v>-2.955991140783908E-2</v>
      </c>
    </row>
    <row r="58" spans="1:26" s="70" customFormat="1" ht="15" hidden="1" customHeight="1" outlineLevel="2" x14ac:dyDescent="0.3">
      <c r="A58" s="26"/>
      <c r="B58" s="12" t="str">
        <f>CONCATENATE("          ","6003"," - ","STAFF HOURLY-9 MONTH")</f>
        <v xml:space="preserve">          6003 - STAFF HOURLY-9 MONTH</v>
      </c>
      <c r="C58" s="12"/>
      <c r="D58" s="7"/>
      <c r="E58" s="3"/>
      <c r="F58" s="8">
        <f t="shared" si="12"/>
        <v>0</v>
      </c>
      <c r="G58" s="3"/>
      <c r="H58" s="7">
        <v>0</v>
      </c>
      <c r="I58" s="3"/>
      <c r="J58" s="8">
        <f t="shared" si="13"/>
        <v>0</v>
      </c>
      <c r="K58" s="3"/>
      <c r="L58" s="7">
        <f t="shared" si="14"/>
        <v>0</v>
      </c>
      <c r="M58" s="3"/>
      <c r="N58" s="8">
        <f t="shared" si="15"/>
        <v>0</v>
      </c>
      <c r="O58" s="12"/>
      <c r="P58" s="7"/>
      <c r="Q58" s="3"/>
      <c r="R58" s="8">
        <f t="shared" si="16"/>
        <v>0</v>
      </c>
      <c r="S58" s="3"/>
      <c r="T58" s="7">
        <v>0</v>
      </c>
      <c r="U58" s="3"/>
      <c r="V58" s="8">
        <f t="shared" si="17"/>
        <v>0</v>
      </c>
      <c r="W58" s="3"/>
      <c r="X58" s="7">
        <f t="shared" si="18"/>
        <v>0</v>
      </c>
      <c r="Y58" s="3"/>
      <c r="Z58" s="8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","6004"," - ","STAFF HOURLY")</f>
        <v xml:space="preserve">          6004 - STAFF HOURLY</v>
      </c>
      <c r="C59" s="12"/>
      <c r="D59" s="7">
        <v>20817.57</v>
      </c>
      <c r="E59" s="3"/>
      <c r="F59" s="8">
        <f t="shared" si="12"/>
        <v>2.6277931892878751E-2</v>
      </c>
      <c r="G59" s="3"/>
      <c r="H59" s="7">
        <v>25371.360000000001</v>
      </c>
      <c r="I59" s="3"/>
      <c r="J59" s="8">
        <f t="shared" si="13"/>
        <v>8.6215619244387962E-2</v>
      </c>
      <c r="K59" s="3"/>
      <c r="L59" s="7">
        <f t="shared" si="14"/>
        <v>-4553.7900000000009</v>
      </c>
      <c r="M59" s="3"/>
      <c r="N59" s="8">
        <f t="shared" si="15"/>
        <v>-0.17948545131203061</v>
      </c>
      <c r="O59" s="12"/>
      <c r="P59" s="7">
        <v>105166.38</v>
      </c>
      <c r="Q59" s="3"/>
      <c r="R59" s="8">
        <f t="shared" si="16"/>
        <v>2.466123507697698E-2</v>
      </c>
      <c r="S59" s="3"/>
      <c r="T59" s="7">
        <v>219736.09599999999</v>
      </c>
      <c r="U59" s="3"/>
      <c r="V59" s="8">
        <f t="shared" si="17"/>
        <v>6.9479330844039941E-2</v>
      </c>
      <c r="W59" s="3"/>
      <c r="X59" s="7">
        <f t="shared" si="18"/>
        <v>-114569.71599999999</v>
      </c>
      <c r="Y59" s="3"/>
      <c r="Z59" s="8">
        <f t="shared" si="19"/>
        <v>-0.52139688510712412</v>
      </c>
    </row>
    <row r="60" spans="1:26" s="70" customFormat="1" ht="15" hidden="1" customHeight="1" outlineLevel="2" x14ac:dyDescent="0.3">
      <c r="A60" s="26"/>
      <c r="B60" s="12" t="str">
        <f>CONCATENATE("          ","6005"," - ","TEMPORARY WAGES-HOURLY")</f>
        <v xml:space="preserve">          6005 - TEMPORARY WAGES-HOURLY</v>
      </c>
      <c r="C60" s="12"/>
      <c r="D60" s="7">
        <v>3478.64</v>
      </c>
      <c r="E60" s="3"/>
      <c r="F60" s="8">
        <f t="shared" si="12"/>
        <v>4.3910727813017431E-3</v>
      </c>
      <c r="G60" s="3"/>
      <c r="H60" s="7">
        <v>0</v>
      </c>
      <c r="I60" s="3"/>
      <c r="J60" s="8">
        <f t="shared" si="13"/>
        <v>0</v>
      </c>
      <c r="K60" s="3"/>
      <c r="L60" s="7">
        <f t="shared" si="14"/>
        <v>3478.64</v>
      </c>
      <c r="M60" s="3"/>
      <c r="N60" s="8">
        <f t="shared" si="15"/>
        <v>0</v>
      </c>
      <c r="O60" s="12"/>
      <c r="P60" s="7">
        <v>36130.53</v>
      </c>
      <c r="Q60" s="3"/>
      <c r="R60" s="8">
        <f t="shared" si="16"/>
        <v>8.4725127344477298E-3</v>
      </c>
      <c r="S60" s="3"/>
      <c r="T60" s="7">
        <v>0</v>
      </c>
      <c r="U60" s="3"/>
      <c r="V60" s="8">
        <f t="shared" si="17"/>
        <v>0</v>
      </c>
      <c r="W60" s="3"/>
      <c r="X60" s="7">
        <f t="shared" si="18"/>
        <v>36130.53</v>
      </c>
      <c r="Y60" s="3"/>
      <c r="Z60" s="8">
        <f t="shared" si="19"/>
        <v>0</v>
      </c>
    </row>
    <row r="61" spans="1:26" s="70" customFormat="1" ht="15" hidden="1" customHeight="1" outlineLevel="2" x14ac:dyDescent="0.3">
      <c r="A61" s="26"/>
      <c r="B61" s="12" t="str">
        <f>CONCATENATE("          ","6006"," - ","TEMPORARY PART TIME")</f>
        <v xml:space="preserve">          6006 - TEMPORARY PART TIME</v>
      </c>
      <c r="C61" s="12"/>
      <c r="D61" s="7"/>
      <c r="E61" s="3"/>
      <c r="F61" s="8">
        <f t="shared" si="12"/>
        <v>0</v>
      </c>
      <c r="G61" s="3"/>
      <c r="H61" s="7">
        <v>0</v>
      </c>
      <c r="I61" s="3"/>
      <c r="J61" s="8">
        <f t="shared" si="13"/>
        <v>0</v>
      </c>
      <c r="K61" s="3"/>
      <c r="L61" s="7">
        <f t="shared" si="14"/>
        <v>0</v>
      </c>
      <c r="M61" s="3"/>
      <c r="N61" s="8">
        <f t="shared" si="15"/>
        <v>0</v>
      </c>
      <c r="O61" s="12"/>
      <c r="P61" s="7"/>
      <c r="Q61" s="3"/>
      <c r="R61" s="8">
        <f t="shared" si="16"/>
        <v>0</v>
      </c>
      <c r="S61" s="3"/>
      <c r="T61" s="7">
        <v>0</v>
      </c>
      <c r="U61" s="3"/>
      <c r="V61" s="8">
        <f t="shared" si="17"/>
        <v>0</v>
      </c>
      <c r="W61" s="3"/>
      <c r="X61" s="7">
        <f t="shared" si="18"/>
        <v>0</v>
      </c>
      <c r="Y61" s="3"/>
      <c r="Z61" s="8">
        <f t="shared" si="19"/>
        <v>0</v>
      </c>
    </row>
    <row r="62" spans="1:26" s="70" customFormat="1" ht="15" hidden="1" customHeight="1" outlineLevel="2" x14ac:dyDescent="0.3">
      <c r="A62" s="26"/>
      <c r="B62" s="12" t="str">
        <f>CONCATENATE("          ","6007"," - ","STUDENT HOURLY")</f>
        <v xml:space="preserve">          6007 - STUDENT HOURLY</v>
      </c>
      <c r="C62" s="12"/>
      <c r="D62" s="7">
        <v>38513.11</v>
      </c>
      <c r="E62" s="3"/>
      <c r="F62" s="8">
        <f t="shared" si="12"/>
        <v>4.8614938321953405E-2</v>
      </c>
      <c r="G62" s="3"/>
      <c r="H62" s="7">
        <v>36915</v>
      </c>
      <c r="I62" s="3"/>
      <c r="J62" s="8">
        <f t="shared" si="13"/>
        <v>0.12544260868974236</v>
      </c>
      <c r="K62" s="3"/>
      <c r="L62" s="7">
        <f t="shared" si="14"/>
        <v>1598.1100000000006</v>
      </c>
      <c r="M62" s="3"/>
      <c r="N62" s="8">
        <f t="shared" si="15"/>
        <v>4.3291615874305855E-2</v>
      </c>
      <c r="O62" s="12"/>
      <c r="P62" s="7">
        <v>329724.38</v>
      </c>
      <c r="Q62" s="3"/>
      <c r="R62" s="8">
        <f t="shared" si="16"/>
        <v>7.7319485997240631E-2</v>
      </c>
      <c r="S62" s="3"/>
      <c r="T62" s="7">
        <v>269190.75</v>
      </c>
      <c r="U62" s="3"/>
      <c r="V62" s="8">
        <f t="shared" si="17"/>
        <v>8.5116617250746304E-2</v>
      </c>
      <c r="W62" s="3"/>
      <c r="X62" s="7">
        <f t="shared" si="18"/>
        <v>60533.630000000005</v>
      </c>
      <c r="Y62" s="3"/>
      <c r="Z62" s="8">
        <f t="shared" si="19"/>
        <v>0.22487262285201109</v>
      </c>
    </row>
    <row r="63" spans="1:26" s="70" customFormat="1" ht="15" hidden="1" customHeight="1" outlineLevel="2" x14ac:dyDescent="0.3">
      <c r="A63" s="26"/>
      <c r="B63" s="12" t="str">
        <f>CONCATENATE("          ","6008"," - ","STUDENT HOURLY-FICA EXEMPT")</f>
        <v xml:space="preserve">          6008 - STUDENT HOURLY-FICA EXEMPT</v>
      </c>
      <c r="C63" s="12"/>
      <c r="D63" s="7">
        <v>16018.99</v>
      </c>
      <c r="E63" s="3"/>
      <c r="F63" s="8">
        <f t="shared" si="12"/>
        <v>2.0220704347947708E-2</v>
      </c>
      <c r="G63" s="3"/>
      <c r="H63" s="7">
        <v>11292.512500000001</v>
      </c>
      <c r="I63" s="3"/>
      <c r="J63" s="8">
        <f t="shared" si="13"/>
        <v>3.8373621201720824E-2</v>
      </c>
      <c r="K63" s="3"/>
      <c r="L63" s="7">
        <f t="shared" si="14"/>
        <v>4726.4774999999991</v>
      </c>
      <c r="M63" s="3"/>
      <c r="N63" s="8">
        <f t="shared" si="15"/>
        <v>0.41854968059588143</v>
      </c>
      <c r="O63" s="12"/>
      <c r="P63" s="7">
        <v>85857.25</v>
      </c>
      <c r="Q63" s="3"/>
      <c r="R63" s="8">
        <f t="shared" si="16"/>
        <v>2.0133295691196956E-2</v>
      </c>
      <c r="S63" s="3"/>
      <c r="T63" s="7">
        <v>139547.79500000001</v>
      </c>
      <c r="U63" s="3"/>
      <c r="V63" s="8">
        <f t="shared" si="17"/>
        <v>4.4124236271865243E-2</v>
      </c>
      <c r="W63" s="3"/>
      <c r="X63" s="7">
        <f t="shared" si="18"/>
        <v>-53690.545000000013</v>
      </c>
      <c r="Y63" s="3"/>
      <c r="Z63" s="8">
        <f t="shared" si="19"/>
        <v>-0.3847466382396082</v>
      </c>
    </row>
    <row r="64" spans="1:26" s="70" customFormat="1" ht="15" hidden="1" customHeight="1" outlineLevel="2" x14ac:dyDescent="0.3">
      <c r="A64" s="26"/>
      <c r="B64" s="12" t="str">
        <f>CONCATENATE("          ","6009"," - ","TEMPORARY-SEASONAL")</f>
        <v xml:space="preserve">          6009 - TEMPORARY-SEASONAL</v>
      </c>
      <c r="C64" s="12"/>
      <c r="D64" s="7"/>
      <c r="E64" s="3"/>
      <c r="F64" s="8">
        <f t="shared" si="12"/>
        <v>0</v>
      </c>
      <c r="G64" s="3"/>
      <c r="H64" s="7">
        <v>0</v>
      </c>
      <c r="I64" s="3"/>
      <c r="J64" s="8">
        <f t="shared" si="13"/>
        <v>0</v>
      </c>
      <c r="K64" s="3"/>
      <c r="L64" s="7">
        <f t="shared" si="14"/>
        <v>0</v>
      </c>
      <c r="M64" s="3"/>
      <c r="N64" s="8">
        <f t="shared" si="15"/>
        <v>0</v>
      </c>
      <c r="O64" s="12"/>
      <c r="P64" s="7"/>
      <c r="Q64" s="3"/>
      <c r="R64" s="8">
        <f t="shared" si="16"/>
        <v>0</v>
      </c>
      <c r="S64" s="3"/>
      <c r="T64" s="7">
        <v>0</v>
      </c>
      <c r="U64" s="3"/>
      <c r="V64" s="8">
        <f t="shared" si="17"/>
        <v>0</v>
      </c>
      <c r="W64" s="3"/>
      <c r="X64" s="7">
        <f t="shared" si="18"/>
        <v>0</v>
      </c>
      <c r="Y64" s="3"/>
      <c r="Z64" s="8">
        <f t="shared" si="19"/>
        <v>0</v>
      </c>
    </row>
    <row r="65" spans="1:26" s="70" customFormat="1" ht="15" hidden="1" customHeight="1" outlineLevel="2" x14ac:dyDescent="0.3">
      <c r="A65" s="26"/>
      <c r="B65" s="12" t="str">
        <f>CONCATENATE("          ","6010"," - ","GRATUITY")</f>
        <v xml:space="preserve">          6010 - GRATUITY</v>
      </c>
      <c r="C65" s="12"/>
      <c r="D65" s="7"/>
      <c r="E65" s="3"/>
      <c r="F65" s="8">
        <f t="shared" si="12"/>
        <v>0</v>
      </c>
      <c r="G65" s="3"/>
      <c r="H65" s="7">
        <v>0</v>
      </c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0</v>
      </c>
      <c r="U65" s="3"/>
      <c r="V65" s="8">
        <f t="shared" si="17"/>
        <v>0</v>
      </c>
      <c r="W65" s="3"/>
      <c r="X65" s="7">
        <f t="shared" si="18"/>
        <v>0</v>
      </c>
      <c r="Y65" s="3"/>
      <c r="Z65" s="8">
        <f t="shared" si="19"/>
        <v>0</v>
      </c>
    </row>
    <row r="66" spans="1:26" s="69" customFormat="1" ht="15" customHeight="1" outlineLevel="1" collapsed="1" x14ac:dyDescent="0.3">
      <c r="A66" s="25"/>
      <c r="B66" s="14" t="str">
        <f>CONCATENATE("     ","Advertising/Promo                                 ")</f>
        <v xml:space="preserve">     Advertising/Promo                                 </v>
      </c>
      <c r="C66" s="14"/>
      <c r="D66" s="2">
        <f>SUM(OSRRefD22_2x_0)</f>
        <v>2512.85</v>
      </c>
      <c r="E66" s="2"/>
      <c r="F66" s="6">
        <f t="shared" si="12"/>
        <v>3.1719600874175208E-3</v>
      </c>
      <c r="G66" s="2"/>
      <c r="H66" s="2">
        <f>SUM(OSRRefH22_2x_0)</f>
        <v>150</v>
      </c>
      <c r="I66" s="2"/>
      <c r="J66" s="6">
        <f t="shared" si="13"/>
        <v>5.0972209951134642E-4</v>
      </c>
      <c r="K66" s="2"/>
      <c r="L66" s="2">
        <f t="shared" si="14"/>
        <v>2362.85</v>
      </c>
      <c r="M66" s="2"/>
      <c r="N66" s="6">
        <f t="shared" si="15"/>
        <v>15.752333333333333</v>
      </c>
      <c r="O66" s="14"/>
      <c r="P66" s="2">
        <f>SUM(OSRRefP22_2x_0)</f>
        <v>10889.21</v>
      </c>
      <c r="Q66" s="2"/>
      <c r="R66" s="6">
        <f t="shared" si="16"/>
        <v>2.5534906460845039E-3</v>
      </c>
      <c r="S66" s="2"/>
      <c r="T66" s="2">
        <f>SUM(OSRRefT22_2x_0)</f>
        <v>2900</v>
      </c>
      <c r="U66" s="2"/>
      <c r="V66" s="6">
        <f t="shared" si="17"/>
        <v>9.1696386308654464E-4</v>
      </c>
      <c r="W66" s="2"/>
      <c r="X66" s="2">
        <f t="shared" si="18"/>
        <v>7989.2099999999991</v>
      </c>
      <c r="Y66" s="2"/>
      <c r="Z66" s="6">
        <f t="shared" si="19"/>
        <v>2.7548999999999997</v>
      </c>
    </row>
    <row r="67" spans="1:26" s="70" customFormat="1" ht="15" hidden="1" customHeight="1" outlineLevel="2" x14ac:dyDescent="0.3">
      <c r="A67" s="26"/>
      <c r="B67" s="12" t="str">
        <f>CONCATENATE("          ","6362"," - ","ADVERTISING EXPENSE")</f>
        <v xml:space="preserve">          6362 - ADVERTISING EXPENSE</v>
      </c>
      <c r="C67" s="12"/>
      <c r="D67" s="7">
        <v>2512.85</v>
      </c>
      <c r="E67" s="3"/>
      <c r="F67" s="8">
        <f t="shared" si="12"/>
        <v>3.1719600874175208E-3</v>
      </c>
      <c r="G67" s="3"/>
      <c r="H67" s="7">
        <v>150</v>
      </c>
      <c r="I67" s="3"/>
      <c r="J67" s="8">
        <f t="shared" si="13"/>
        <v>5.0972209951134642E-4</v>
      </c>
      <c r="K67" s="3"/>
      <c r="L67" s="7">
        <f t="shared" si="14"/>
        <v>2362.85</v>
      </c>
      <c r="M67" s="3"/>
      <c r="N67" s="8">
        <f t="shared" si="15"/>
        <v>15.752333333333333</v>
      </c>
      <c r="O67" s="12"/>
      <c r="P67" s="7">
        <v>10889.21</v>
      </c>
      <c r="Q67" s="3"/>
      <c r="R67" s="8">
        <f t="shared" si="16"/>
        <v>2.5534906460845039E-3</v>
      </c>
      <c r="S67" s="3"/>
      <c r="T67" s="7">
        <v>2900</v>
      </c>
      <c r="U67" s="3"/>
      <c r="V67" s="8">
        <f t="shared" si="17"/>
        <v>9.1696386308654464E-4</v>
      </c>
      <c r="W67" s="3"/>
      <c r="X67" s="7">
        <f t="shared" si="18"/>
        <v>7989.2099999999991</v>
      </c>
      <c r="Y67" s="3"/>
      <c r="Z67" s="8">
        <f t="shared" si="19"/>
        <v>2.7548999999999997</v>
      </c>
    </row>
    <row r="68" spans="1:26" s="69" customFormat="1" ht="15" customHeight="1" outlineLevel="1" collapsed="1" x14ac:dyDescent="0.3">
      <c r="A68" s="25"/>
      <c r="B68" s="14" t="str">
        <f>CONCATENATE("     ","Bad Debts/Over/Short                              ")</f>
        <v xml:space="preserve">     Bad Debts/Over/Short                              </v>
      </c>
      <c r="C68" s="14"/>
      <c r="D68" s="2">
        <f>SUM(OSRRefD22_3x_0)</f>
        <v>0.87</v>
      </c>
      <c r="E68" s="2"/>
      <c r="F68" s="6">
        <f t="shared" si="12"/>
        <v>1.0981973759091245E-6</v>
      </c>
      <c r="G68" s="2"/>
      <c r="H68" s="2">
        <f>SUM(OSRRefH22_3x_0)</f>
        <v>35</v>
      </c>
      <c r="I68" s="2"/>
      <c r="J68" s="6">
        <f t="shared" si="13"/>
        <v>1.189351565526475E-4</v>
      </c>
      <c r="K68" s="2"/>
      <c r="L68" s="2">
        <f t="shared" si="14"/>
        <v>-34.130000000000003</v>
      </c>
      <c r="M68" s="2"/>
      <c r="N68" s="6">
        <f t="shared" si="15"/>
        <v>-0.9751428571428572</v>
      </c>
      <c r="O68" s="14"/>
      <c r="P68" s="2">
        <f>SUM(OSRRefP22_3x_0)</f>
        <v>-56.92</v>
      </c>
      <c r="Q68" s="2"/>
      <c r="R68" s="6">
        <f t="shared" si="16"/>
        <v>-1.3347587894358726E-5</v>
      </c>
      <c r="S68" s="2"/>
      <c r="T68" s="2">
        <f>SUM(OSRRefT22_3x_0)</f>
        <v>350</v>
      </c>
      <c r="U68" s="2"/>
      <c r="V68" s="6">
        <f t="shared" si="17"/>
        <v>1.1066805244147952E-4</v>
      </c>
      <c r="W68" s="2"/>
      <c r="X68" s="2">
        <f t="shared" si="18"/>
        <v>-406.92</v>
      </c>
      <c r="Y68" s="2"/>
      <c r="Z68" s="6">
        <f t="shared" si="19"/>
        <v>-1.1626285714285716</v>
      </c>
    </row>
    <row r="69" spans="1:26" s="70" customFormat="1" ht="15" hidden="1" customHeight="1" outlineLevel="2" x14ac:dyDescent="0.3">
      <c r="A69" s="26"/>
      <c r="B69" s="12" t="str">
        <f>CONCATENATE("          ","6272"," - ","CASH (OVER/SHORT)")</f>
        <v xml:space="preserve">          6272 - CASH (OVER/SHORT)</v>
      </c>
      <c r="C69" s="12"/>
      <c r="D69" s="7">
        <v>0.87</v>
      </c>
      <c r="E69" s="3"/>
      <c r="F69" s="8">
        <f t="shared" si="12"/>
        <v>1.0981973759091245E-6</v>
      </c>
      <c r="G69" s="3"/>
      <c r="H69" s="7">
        <v>35</v>
      </c>
      <c r="I69" s="3"/>
      <c r="J69" s="8">
        <f t="shared" si="13"/>
        <v>1.189351565526475E-4</v>
      </c>
      <c r="K69" s="3"/>
      <c r="L69" s="7">
        <f t="shared" si="14"/>
        <v>-34.130000000000003</v>
      </c>
      <c r="M69" s="3"/>
      <c r="N69" s="8">
        <f t="shared" si="15"/>
        <v>-0.9751428571428572</v>
      </c>
      <c r="O69" s="12"/>
      <c r="P69" s="7">
        <v>-56.92</v>
      </c>
      <c r="Q69" s="3"/>
      <c r="R69" s="8">
        <f t="shared" si="16"/>
        <v>-1.3347587894358726E-5</v>
      </c>
      <c r="S69" s="3"/>
      <c r="T69" s="7">
        <v>350</v>
      </c>
      <c r="U69" s="3"/>
      <c r="V69" s="8">
        <f t="shared" si="17"/>
        <v>1.1066805244147952E-4</v>
      </c>
      <c r="W69" s="3"/>
      <c r="X69" s="7">
        <f t="shared" si="18"/>
        <v>-406.92</v>
      </c>
      <c r="Y69" s="3"/>
      <c r="Z69" s="8">
        <f t="shared" si="19"/>
        <v>-1.1626285714285716</v>
      </c>
    </row>
    <row r="70" spans="1:26" s="69" customFormat="1" ht="15" customHeight="1" outlineLevel="1" collapsed="1" x14ac:dyDescent="0.3">
      <c r="A70" s="25"/>
      <c r="B70" s="14" t="str">
        <f>CONCATENATE("     ","Bank/card Fees                                    ")</f>
        <v xml:space="preserve">     Bank/card Fees                                    </v>
      </c>
      <c r="C70" s="14"/>
      <c r="D70" s="2">
        <f>SUM(OSRRefD22_4x_0)</f>
        <v>570.77</v>
      </c>
      <c r="E70" s="2"/>
      <c r="F70" s="6">
        <f t="shared" si="12"/>
        <v>7.2048059338810451E-4</v>
      </c>
      <c r="G70" s="2"/>
      <c r="H70" s="2">
        <f>SUM(OSRRefH22_4x_0)</f>
        <v>1877</v>
      </c>
      <c r="I70" s="2"/>
      <c r="J70" s="6">
        <f t="shared" si="13"/>
        <v>6.3783225385519813E-3</v>
      </c>
      <c r="K70" s="2"/>
      <c r="L70" s="2">
        <f t="shared" si="14"/>
        <v>-1306.23</v>
      </c>
      <c r="M70" s="2"/>
      <c r="N70" s="6">
        <f t="shared" si="15"/>
        <v>-0.69591369206180076</v>
      </c>
      <c r="O70" s="14"/>
      <c r="P70" s="2">
        <f>SUM(OSRRefP22_4x_0)</f>
        <v>5345.72</v>
      </c>
      <c r="Q70" s="2"/>
      <c r="R70" s="6">
        <f t="shared" si="16"/>
        <v>1.2535570547897283E-3</v>
      </c>
      <c r="S70" s="2"/>
      <c r="T70" s="2">
        <f>SUM(OSRRefT22_4x_0)</f>
        <v>14417</v>
      </c>
      <c r="U70" s="2"/>
      <c r="V70" s="6">
        <f t="shared" si="17"/>
        <v>4.5585751772823152E-3</v>
      </c>
      <c r="W70" s="2"/>
      <c r="X70" s="2">
        <f t="shared" si="18"/>
        <v>-9071.2799999999988</v>
      </c>
      <c r="Y70" s="2"/>
      <c r="Z70" s="6">
        <f t="shared" si="19"/>
        <v>-0.62920718596101821</v>
      </c>
    </row>
    <row r="71" spans="1:26" s="70" customFormat="1" ht="15" hidden="1" customHeight="1" outlineLevel="2" x14ac:dyDescent="0.3">
      <c r="A71" s="26"/>
      <c r="B71" s="12" t="str">
        <f>CONCATENATE("          ","6381"," - ","BANK/CREDIT CARD FEES")</f>
        <v xml:space="preserve">          6381 - BANK/CREDIT CARD FEES</v>
      </c>
      <c r="C71" s="12"/>
      <c r="D71" s="7">
        <v>570.77</v>
      </c>
      <c r="E71" s="3"/>
      <c r="F71" s="8">
        <f t="shared" si="12"/>
        <v>7.2048059338810451E-4</v>
      </c>
      <c r="G71" s="3"/>
      <c r="H71" s="7">
        <v>1877</v>
      </c>
      <c r="I71" s="3"/>
      <c r="J71" s="8">
        <f t="shared" si="13"/>
        <v>6.3783225385519813E-3</v>
      </c>
      <c r="K71" s="3"/>
      <c r="L71" s="7">
        <f t="shared" si="14"/>
        <v>-1306.23</v>
      </c>
      <c r="M71" s="3"/>
      <c r="N71" s="8">
        <f t="shared" si="15"/>
        <v>-0.69591369206180076</v>
      </c>
      <c r="O71" s="12"/>
      <c r="P71" s="7">
        <v>5345.72</v>
      </c>
      <c r="Q71" s="3"/>
      <c r="R71" s="8">
        <f t="shared" si="16"/>
        <v>1.2535570547897283E-3</v>
      </c>
      <c r="S71" s="3"/>
      <c r="T71" s="7">
        <v>14417</v>
      </c>
      <c r="U71" s="3"/>
      <c r="V71" s="8">
        <f t="shared" si="17"/>
        <v>4.5585751772823152E-3</v>
      </c>
      <c r="W71" s="3"/>
      <c r="X71" s="7">
        <f t="shared" si="18"/>
        <v>-9071.2799999999988</v>
      </c>
      <c r="Y71" s="3"/>
      <c r="Z71" s="8">
        <f t="shared" si="19"/>
        <v>-0.62920718596101821</v>
      </c>
    </row>
    <row r="72" spans="1:26" s="69" customFormat="1" ht="15" customHeight="1" outlineLevel="1" collapsed="1" x14ac:dyDescent="0.3">
      <c r="A72" s="25"/>
      <c r="B72" s="14" t="str">
        <f>CONCATENATE("     ","Discounts and Markdowns                           ")</f>
        <v xml:space="preserve">     Discounts and Markdowns                           </v>
      </c>
      <c r="C72" s="14"/>
      <c r="D72" s="2">
        <f>SUM(OSRRefD22_5x_0)</f>
        <v>-20.86</v>
      </c>
      <c r="E72" s="2"/>
      <c r="F72" s="6">
        <f t="shared" si="12"/>
        <v>-2.6331491105131421E-5</v>
      </c>
      <c r="G72" s="2"/>
      <c r="H72" s="2">
        <f>SUM(OSRRefH22_5x_0)</f>
        <v>0</v>
      </c>
      <c r="I72" s="2"/>
      <c r="J72" s="6">
        <f t="shared" si="13"/>
        <v>0</v>
      </c>
      <c r="K72" s="2"/>
      <c r="L72" s="2">
        <f t="shared" si="14"/>
        <v>-20.86</v>
      </c>
      <c r="M72" s="2"/>
      <c r="N72" s="6">
        <f t="shared" si="15"/>
        <v>0</v>
      </c>
      <c r="O72" s="14"/>
      <c r="P72" s="2">
        <f>SUM(OSRRefP22_5x_0)</f>
        <v>-21.53</v>
      </c>
      <c r="Q72" s="2"/>
      <c r="R72" s="6">
        <f t="shared" si="16"/>
        <v>-5.0487274660144656E-6</v>
      </c>
      <c r="S72" s="2"/>
      <c r="T72" s="2">
        <f>SUM(OSRRefT22_5x_0)</f>
        <v>0</v>
      </c>
      <c r="U72" s="2"/>
      <c r="V72" s="6">
        <f t="shared" si="17"/>
        <v>0</v>
      </c>
      <c r="W72" s="2"/>
      <c r="X72" s="2">
        <f t="shared" si="18"/>
        <v>-21.53</v>
      </c>
      <c r="Y72" s="2"/>
      <c r="Z72" s="6">
        <f t="shared" si="19"/>
        <v>0</v>
      </c>
    </row>
    <row r="73" spans="1:26" s="70" customFormat="1" ht="15" hidden="1" customHeight="1" outlineLevel="2" x14ac:dyDescent="0.3">
      <c r="A73" s="26"/>
      <c r="B73" s="12" t="str">
        <f>CONCATENATE("          ","6382"," - ","DISCOUNTS/MARK DOWNS")</f>
        <v xml:space="preserve">          6382 - DISCOUNTS/MARK DOWNS</v>
      </c>
      <c r="C73" s="12"/>
      <c r="D73" s="7"/>
      <c r="E73" s="3"/>
      <c r="F73" s="8">
        <f t="shared" si="12"/>
        <v>0</v>
      </c>
      <c r="G73" s="3"/>
      <c r="H73" s="7"/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","9175"," - ","EARNED DISCOUNTS")</f>
        <v xml:space="preserve">          9175 - EARNED DISCOUNTS</v>
      </c>
      <c r="C74" s="12"/>
      <c r="D74" s="7">
        <v>-20.86</v>
      </c>
      <c r="E74" s="3"/>
      <c r="F74" s="8">
        <f t="shared" si="12"/>
        <v>-2.6331491105131421E-5</v>
      </c>
      <c r="G74" s="3"/>
      <c r="H74" s="7"/>
      <c r="I74" s="3"/>
      <c r="J74" s="8">
        <f t="shared" si="13"/>
        <v>0</v>
      </c>
      <c r="K74" s="3"/>
      <c r="L74" s="7">
        <f t="shared" si="14"/>
        <v>-20.86</v>
      </c>
      <c r="M74" s="3"/>
      <c r="N74" s="8">
        <f t="shared" si="15"/>
        <v>0</v>
      </c>
      <c r="O74" s="12"/>
      <c r="P74" s="7">
        <v>-21.53</v>
      </c>
      <c r="Q74" s="3"/>
      <c r="R74" s="8">
        <f t="shared" si="16"/>
        <v>-5.0487274660144656E-6</v>
      </c>
      <c r="S74" s="3"/>
      <c r="T74" s="7"/>
      <c r="U74" s="3"/>
      <c r="V74" s="8">
        <f t="shared" si="17"/>
        <v>0</v>
      </c>
      <c r="W74" s="3"/>
      <c r="X74" s="7">
        <f t="shared" si="18"/>
        <v>-21.53</v>
      </c>
      <c r="Y74" s="3"/>
      <c r="Z74" s="8">
        <f t="shared" si="19"/>
        <v>0</v>
      </c>
    </row>
    <row r="75" spans="1:26" s="69" customFormat="1" ht="15" customHeight="1" outlineLevel="1" collapsed="1" x14ac:dyDescent="0.3">
      <c r="A75" s="25"/>
      <c r="B75" s="14" t="str">
        <f>CONCATENATE("     ","Employees' Appreciation                           ")</f>
        <v xml:space="preserve">     Employees' Appreciation                           </v>
      </c>
      <c r="C75" s="14"/>
      <c r="D75" s="2">
        <f>SUM(OSRRefD22_6x_0)</f>
        <v>0</v>
      </c>
      <c r="E75" s="2"/>
      <c r="F75" s="6">
        <f t="shared" si="12"/>
        <v>0</v>
      </c>
      <c r="G75" s="2"/>
      <c r="H75" s="2">
        <f>SUM(OSRRefH22_6x_0)</f>
        <v>75</v>
      </c>
      <c r="I75" s="2"/>
      <c r="J75" s="6">
        <f t="shared" si="13"/>
        <v>2.5486104975567321E-4</v>
      </c>
      <c r="K75" s="2"/>
      <c r="L75" s="2">
        <f t="shared" si="14"/>
        <v>-75</v>
      </c>
      <c r="M75" s="2"/>
      <c r="N75" s="6">
        <f t="shared" si="15"/>
        <v>-1</v>
      </c>
      <c r="O75" s="14"/>
      <c r="P75" s="2">
        <f>SUM(OSRRefP22_6x_0)</f>
        <v>291.13</v>
      </c>
      <c r="Q75" s="2"/>
      <c r="R75" s="6">
        <f t="shared" si="16"/>
        <v>6.8269207021866751E-5</v>
      </c>
      <c r="S75" s="2"/>
      <c r="T75" s="2">
        <f>SUM(OSRRefT22_6x_0)</f>
        <v>750</v>
      </c>
      <c r="U75" s="2"/>
      <c r="V75" s="6">
        <f t="shared" si="17"/>
        <v>2.3714582666031328E-4</v>
      </c>
      <c r="W75" s="2"/>
      <c r="X75" s="2">
        <f t="shared" si="18"/>
        <v>-458.87</v>
      </c>
      <c r="Y75" s="2"/>
      <c r="Z75" s="6">
        <f t="shared" si="19"/>
        <v>-0.61182666666666663</v>
      </c>
    </row>
    <row r="76" spans="1:26" s="70" customFormat="1" ht="15" hidden="1" customHeight="1" outlineLevel="2" x14ac:dyDescent="0.3">
      <c r="A76" s="26"/>
      <c r="B76" s="12" t="str">
        <f>CONCATENATE("          ","6277"," - ","EMPLOYEE APPRECIATION")</f>
        <v xml:space="preserve">          6277 - EMPLOYEE APPRECIATION</v>
      </c>
      <c r="C76" s="12"/>
      <c r="D76" s="7"/>
      <c r="E76" s="3"/>
      <c r="F76" s="8">
        <f t="shared" ref="F76:F107" si="20">IF(D$12=0,0,D76/D$12)</f>
        <v>0</v>
      </c>
      <c r="G76" s="3"/>
      <c r="H76" s="7">
        <v>75</v>
      </c>
      <c r="I76" s="3"/>
      <c r="J76" s="8">
        <f t="shared" ref="J76:J107" si="21">IF(H$12=0,0,H76/H$12)</f>
        <v>2.5486104975567321E-4</v>
      </c>
      <c r="K76" s="3"/>
      <c r="L76" s="7">
        <f t="shared" ref="L76:L107" si="22">+D76-H76</f>
        <v>-75</v>
      </c>
      <c r="M76" s="3"/>
      <c r="N76" s="8">
        <f t="shared" ref="N76:N107" si="23">IF(H76=0,0,L76/H76)</f>
        <v>-1</v>
      </c>
      <c r="O76" s="12"/>
      <c r="P76" s="7">
        <v>291.13</v>
      </c>
      <c r="Q76" s="3"/>
      <c r="R76" s="8">
        <f t="shared" ref="R76:R107" si="24">IF(P$12=0,0,P76/P$12)</f>
        <v>6.8269207021866751E-5</v>
      </c>
      <c r="S76" s="3"/>
      <c r="T76" s="7">
        <v>750</v>
      </c>
      <c r="U76" s="3"/>
      <c r="V76" s="8">
        <f t="shared" ref="V76:V107" si="25">IF(T$12=0,0,T76/T$12)</f>
        <v>2.3714582666031328E-4</v>
      </c>
      <c r="W76" s="3"/>
      <c r="X76" s="7">
        <f t="shared" ref="X76:X107" si="26">+P76-T76</f>
        <v>-458.87</v>
      </c>
      <c r="Y76" s="3"/>
      <c r="Z76" s="8">
        <f t="shared" ref="Z76:Z107" si="27">IF(T76=0,0,X76/T76)</f>
        <v>-0.61182666666666663</v>
      </c>
    </row>
    <row r="77" spans="1:26" s="69" customFormat="1" ht="15" customHeight="1" outlineLevel="1" collapsed="1" x14ac:dyDescent="0.3">
      <c r="A77" s="25"/>
      <c r="B77" s="14" t="str">
        <f>CONCATENATE("     ","Equipment Rental                                  ")</f>
        <v xml:space="preserve">     Equipment Rental                                  </v>
      </c>
      <c r="C77" s="14"/>
      <c r="D77" s="2">
        <f>SUM(OSRRefD22_7x_0)</f>
        <v>0</v>
      </c>
      <c r="E77" s="2"/>
      <c r="F77" s="6">
        <f t="shared" si="20"/>
        <v>0</v>
      </c>
      <c r="G77" s="2"/>
      <c r="H77" s="2">
        <f>SUM(OSRRefH22_7x_0)</f>
        <v>0</v>
      </c>
      <c r="I77" s="2"/>
      <c r="J77" s="6">
        <f t="shared" si="21"/>
        <v>0</v>
      </c>
      <c r="K77" s="2"/>
      <c r="L77" s="2">
        <f t="shared" si="22"/>
        <v>0</v>
      </c>
      <c r="M77" s="2"/>
      <c r="N77" s="6">
        <f t="shared" si="23"/>
        <v>0</v>
      </c>
      <c r="O77" s="14"/>
      <c r="P77" s="2">
        <f>SUM(OSRRefP22_7x_0)</f>
        <v>118.91</v>
      </c>
      <c r="Q77" s="2"/>
      <c r="R77" s="6">
        <f t="shared" si="24"/>
        <v>2.7884077240305622E-5</v>
      </c>
      <c r="S77" s="2"/>
      <c r="T77" s="2">
        <f>SUM(OSRRefT22_7x_0)</f>
        <v>0</v>
      </c>
      <c r="U77" s="2"/>
      <c r="V77" s="6">
        <f t="shared" si="25"/>
        <v>0</v>
      </c>
      <c r="W77" s="2"/>
      <c r="X77" s="2">
        <f t="shared" si="26"/>
        <v>118.91</v>
      </c>
      <c r="Y77" s="2"/>
      <c r="Z77" s="6">
        <f t="shared" si="27"/>
        <v>0</v>
      </c>
    </row>
    <row r="78" spans="1:26" s="70" customFormat="1" ht="15" hidden="1" customHeight="1" outlineLevel="2" x14ac:dyDescent="0.3">
      <c r="A78" s="26"/>
      <c r="B78" s="12" t="str">
        <f>CONCATENATE("          ","6351"," - ","EQUIPMENT RENTAL")</f>
        <v xml:space="preserve">          6351 - EQUIPMENT RENTAL</v>
      </c>
      <c r="C78" s="12"/>
      <c r="D78" s="7"/>
      <c r="E78" s="3"/>
      <c r="F78" s="8">
        <f t="shared" si="20"/>
        <v>0</v>
      </c>
      <c r="G78" s="3"/>
      <c r="H78" s="7"/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>
        <v>118.91</v>
      </c>
      <c r="Q78" s="3"/>
      <c r="R78" s="8">
        <f t="shared" si="24"/>
        <v>2.7884077240305622E-5</v>
      </c>
      <c r="S78" s="3"/>
      <c r="T78" s="7"/>
      <c r="U78" s="3"/>
      <c r="V78" s="8">
        <f t="shared" si="25"/>
        <v>0</v>
      </c>
      <c r="W78" s="3"/>
      <c r="X78" s="7">
        <f t="shared" si="26"/>
        <v>118.91</v>
      </c>
      <c r="Y78" s="3"/>
      <c r="Z78" s="8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","Freight out/Postage                               ")</f>
        <v xml:space="preserve">     Freight out/Postage                               </v>
      </c>
      <c r="C79" s="14"/>
      <c r="D79" s="2">
        <f>SUM(OSRRefD22_8x_0)</f>
        <v>0</v>
      </c>
      <c r="E79" s="2"/>
      <c r="F79" s="6">
        <f t="shared" si="20"/>
        <v>0</v>
      </c>
      <c r="G79" s="2"/>
      <c r="H79" s="2">
        <f>SUM(OSRRefH22_8x_0)</f>
        <v>50</v>
      </c>
      <c r="I79" s="2"/>
      <c r="J79" s="6">
        <f t="shared" si="21"/>
        <v>1.6990736650378214E-4</v>
      </c>
      <c r="K79" s="2"/>
      <c r="L79" s="2">
        <f t="shared" si="22"/>
        <v>-50</v>
      </c>
      <c r="M79" s="2"/>
      <c r="N79" s="6">
        <f t="shared" si="23"/>
        <v>-1</v>
      </c>
      <c r="O79" s="14"/>
      <c r="P79" s="2">
        <f>SUM(OSRRefP22_8x_0)</f>
        <v>983.79</v>
      </c>
      <c r="Q79" s="2"/>
      <c r="R79" s="6">
        <f t="shared" si="24"/>
        <v>2.306961260469285E-4</v>
      </c>
      <c r="S79" s="2"/>
      <c r="T79" s="2">
        <f>SUM(OSRRefT22_8x_0)</f>
        <v>500</v>
      </c>
      <c r="U79" s="2"/>
      <c r="V79" s="6">
        <f t="shared" si="25"/>
        <v>1.5809721777354217E-4</v>
      </c>
      <c r="W79" s="2"/>
      <c r="X79" s="2">
        <f t="shared" si="26"/>
        <v>483.78999999999996</v>
      </c>
      <c r="Y79" s="2"/>
      <c r="Z79" s="6">
        <f t="shared" si="27"/>
        <v>0.96757999999999988</v>
      </c>
    </row>
    <row r="80" spans="1:26" s="70" customFormat="1" ht="15" hidden="1" customHeight="1" outlineLevel="2" x14ac:dyDescent="0.3">
      <c r="A80" s="26"/>
      <c r="B80" s="12" t="str">
        <f>CONCATENATE("          ","6305"," - ","FREIGHT OUT")</f>
        <v xml:space="preserve">          6305 - FREIGHT OUT</v>
      </c>
      <c r="C80" s="12"/>
      <c r="D80" s="7"/>
      <c r="E80" s="3"/>
      <c r="F80" s="8">
        <f t="shared" si="20"/>
        <v>0</v>
      </c>
      <c r="G80" s="3"/>
      <c r="H80" s="7">
        <v>50</v>
      </c>
      <c r="I80" s="3"/>
      <c r="J80" s="8">
        <f t="shared" si="21"/>
        <v>1.6990736650378214E-4</v>
      </c>
      <c r="K80" s="3"/>
      <c r="L80" s="7">
        <f t="shared" si="22"/>
        <v>-50</v>
      </c>
      <c r="M80" s="3"/>
      <c r="N80" s="8">
        <f t="shared" si="23"/>
        <v>-1</v>
      </c>
      <c r="O80" s="12"/>
      <c r="P80" s="7">
        <v>893.87</v>
      </c>
      <c r="Q80" s="3"/>
      <c r="R80" s="8">
        <f t="shared" si="24"/>
        <v>2.0961012633749886E-4</v>
      </c>
      <c r="S80" s="3"/>
      <c r="T80" s="7">
        <v>500</v>
      </c>
      <c r="U80" s="3"/>
      <c r="V80" s="8">
        <f t="shared" si="25"/>
        <v>1.5809721777354217E-4</v>
      </c>
      <c r="W80" s="3"/>
      <c r="X80" s="7">
        <f t="shared" si="26"/>
        <v>393.87</v>
      </c>
      <c r="Y80" s="3"/>
      <c r="Z80" s="8">
        <f t="shared" si="27"/>
        <v>0.78774</v>
      </c>
    </row>
    <row r="81" spans="1:26" s="70" customFormat="1" ht="15" hidden="1" customHeight="1" outlineLevel="2" x14ac:dyDescent="0.3">
      <c r="A81" s="26"/>
      <c r="B81" s="12" t="str">
        <f>CONCATENATE("          ","6307"," - ","POSTAGE")</f>
        <v xml:space="preserve">          6307 - POSTAGE</v>
      </c>
      <c r="C81" s="12"/>
      <c r="D81" s="7"/>
      <c r="E81" s="3"/>
      <c r="F81" s="8">
        <f t="shared" si="20"/>
        <v>0</v>
      </c>
      <c r="G81" s="3"/>
      <c r="H81" s="7"/>
      <c r="I81" s="3"/>
      <c r="J81" s="8">
        <f t="shared" si="21"/>
        <v>0</v>
      </c>
      <c r="K81" s="3"/>
      <c r="L81" s="7">
        <f t="shared" si="22"/>
        <v>0</v>
      </c>
      <c r="M81" s="3"/>
      <c r="N81" s="8">
        <f t="shared" si="23"/>
        <v>0</v>
      </c>
      <c r="O81" s="12"/>
      <c r="P81" s="7">
        <v>89.92</v>
      </c>
      <c r="Q81" s="3"/>
      <c r="R81" s="8">
        <f t="shared" si="24"/>
        <v>2.1085999709429668E-5</v>
      </c>
      <c r="S81" s="3"/>
      <c r="T81" s="7"/>
      <c r="U81" s="3"/>
      <c r="V81" s="8">
        <f t="shared" si="25"/>
        <v>0</v>
      </c>
      <c r="W81" s="3"/>
      <c r="X81" s="7">
        <f t="shared" si="26"/>
        <v>89.92</v>
      </c>
      <c r="Y81" s="3"/>
      <c r="Z81" s="8">
        <f t="shared" si="27"/>
        <v>0</v>
      </c>
    </row>
    <row r="82" spans="1:26" s="69" customFormat="1" ht="15" customHeight="1" outlineLevel="1" collapsed="1" x14ac:dyDescent="0.3">
      <c r="A82" s="25"/>
      <c r="B82" s="14" t="str">
        <f>CONCATENATE("     ","General                                           ")</f>
        <v xml:space="preserve">     General                                           </v>
      </c>
      <c r="C82" s="14"/>
      <c r="D82" s="2">
        <f>SUM(OSRRefD22_9x_0)</f>
        <v>565.61</v>
      </c>
      <c r="E82" s="2"/>
      <c r="F82" s="6">
        <f t="shared" si="20"/>
        <v>7.1396714688271251E-4</v>
      </c>
      <c r="G82" s="2"/>
      <c r="H82" s="2">
        <f>SUM(OSRRefH22_9x_0)</f>
        <v>0</v>
      </c>
      <c r="I82" s="2"/>
      <c r="J82" s="6">
        <f t="shared" si="21"/>
        <v>0</v>
      </c>
      <c r="K82" s="2"/>
      <c r="L82" s="2">
        <f t="shared" si="22"/>
        <v>565.61</v>
      </c>
      <c r="M82" s="2"/>
      <c r="N82" s="6">
        <f t="shared" si="23"/>
        <v>0</v>
      </c>
      <c r="O82" s="14"/>
      <c r="P82" s="2">
        <f>SUM(OSRRefP22_9x_0)</f>
        <v>3524.95</v>
      </c>
      <c r="Q82" s="2"/>
      <c r="R82" s="6">
        <f t="shared" si="24"/>
        <v>8.2659135537982767E-4</v>
      </c>
      <c r="S82" s="2"/>
      <c r="T82" s="2">
        <f>SUM(OSRRefT22_9x_0)</f>
        <v>1250</v>
      </c>
      <c r="U82" s="2"/>
      <c r="V82" s="6">
        <f t="shared" si="25"/>
        <v>3.9524304443385545E-4</v>
      </c>
      <c r="W82" s="2"/>
      <c r="X82" s="2">
        <f t="shared" si="26"/>
        <v>2274.9499999999998</v>
      </c>
      <c r="Y82" s="2"/>
      <c r="Z82" s="6">
        <f t="shared" si="27"/>
        <v>1.8199599999999998</v>
      </c>
    </row>
    <row r="83" spans="1:26" s="70" customFormat="1" ht="15" hidden="1" customHeight="1" outlineLevel="2" x14ac:dyDescent="0.3">
      <c r="A83" s="26"/>
      <c r="B83" s="12" t="str">
        <f>CONCATENATE("          ","6276"," - ","PROPERTY TAX")</f>
        <v xml:space="preserve">          6276 - PROPERTY TAX</v>
      </c>
      <c r="C83" s="12"/>
      <c r="D83" s="7"/>
      <c r="E83" s="3"/>
      <c r="F83" s="8">
        <f t="shared" si="20"/>
        <v>0</v>
      </c>
      <c r="G83" s="3"/>
      <c r="H83" s="7"/>
      <c r="I83" s="3"/>
      <c r="J83" s="8">
        <f t="shared" si="21"/>
        <v>0</v>
      </c>
      <c r="K83" s="3"/>
      <c r="L83" s="7">
        <f t="shared" si="22"/>
        <v>0</v>
      </c>
      <c r="M83" s="3"/>
      <c r="N83" s="8">
        <f t="shared" si="23"/>
        <v>0</v>
      </c>
      <c r="O83" s="12"/>
      <c r="P83" s="7"/>
      <c r="Q83" s="3"/>
      <c r="R83" s="8">
        <f t="shared" si="24"/>
        <v>0</v>
      </c>
      <c r="S83" s="3"/>
      <c r="T83" s="7">
        <v>1250</v>
      </c>
      <c r="U83" s="3"/>
      <c r="V83" s="8">
        <f t="shared" si="25"/>
        <v>3.9524304443385545E-4</v>
      </c>
      <c r="W83" s="3"/>
      <c r="X83" s="7">
        <f t="shared" si="26"/>
        <v>-1250</v>
      </c>
      <c r="Y83" s="3"/>
      <c r="Z83" s="8">
        <f t="shared" si="27"/>
        <v>-1</v>
      </c>
    </row>
    <row r="84" spans="1:26" s="70" customFormat="1" ht="15" hidden="1" customHeight="1" outlineLevel="2" x14ac:dyDescent="0.3">
      <c r="A84" s="26"/>
      <c r="B84" s="12" t="str">
        <f>CONCATENATE("          ","6279"," - ","GENERAL EXPENSE")</f>
        <v xml:space="preserve">          6279 - GENERAL EXPENSE</v>
      </c>
      <c r="C84" s="12"/>
      <c r="D84" s="7">
        <v>565.61</v>
      </c>
      <c r="E84" s="3"/>
      <c r="F84" s="8">
        <f t="shared" si="20"/>
        <v>7.1396714688271251E-4</v>
      </c>
      <c r="G84" s="3"/>
      <c r="H84" s="7">
        <v>0</v>
      </c>
      <c r="I84" s="3"/>
      <c r="J84" s="8">
        <f t="shared" si="21"/>
        <v>0</v>
      </c>
      <c r="K84" s="3"/>
      <c r="L84" s="7">
        <f t="shared" si="22"/>
        <v>565.61</v>
      </c>
      <c r="M84" s="3"/>
      <c r="N84" s="8">
        <f t="shared" si="23"/>
        <v>0</v>
      </c>
      <c r="O84" s="12"/>
      <c r="P84" s="7">
        <v>3524.95</v>
      </c>
      <c r="Q84" s="3"/>
      <c r="R84" s="8">
        <f t="shared" si="24"/>
        <v>8.2659135537982767E-4</v>
      </c>
      <c r="S84" s="3"/>
      <c r="T84" s="7">
        <v>0</v>
      </c>
      <c r="U84" s="3"/>
      <c r="V84" s="8">
        <f t="shared" si="25"/>
        <v>0</v>
      </c>
      <c r="W84" s="3"/>
      <c r="X84" s="7">
        <f t="shared" si="26"/>
        <v>3524.95</v>
      </c>
      <c r="Y84" s="3"/>
      <c r="Z84" s="8">
        <f t="shared" si="27"/>
        <v>0</v>
      </c>
    </row>
    <row r="85" spans="1:26" s="69" customFormat="1" ht="15" customHeight="1" outlineLevel="1" collapsed="1" x14ac:dyDescent="0.3">
      <c r="A85" s="25"/>
      <c r="B85" s="14" t="str">
        <f>CONCATENATE("     ","Insurance                                         ")</f>
        <v xml:space="preserve">     Insurance                                         </v>
      </c>
      <c r="C85" s="14"/>
      <c r="D85" s="2">
        <f>SUM(OSRRefD22_10x_0)</f>
        <v>219.08</v>
      </c>
      <c r="E85" s="2"/>
      <c r="F85" s="6">
        <f t="shared" si="20"/>
        <v>2.7654377139559884E-4</v>
      </c>
      <c r="G85" s="2"/>
      <c r="H85" s="2">
        <f>SUM(OSRRefH22_10x_0)</f>
        <v>175</v>
      </c>
      <c r="I85" s="2"/>
      <c r="J85" s="6">
        <f t="shared" si="21"/>
        <v>5.946757827632375E-4</v>
      </c>
      <c r="K85" s="2"/>
      <c r="L85" s="2">
        <f t="shared" si="22"/>
        <v>44.080000000000013</v>
      </c>
      <c r="M85" s="2"/>
      <c r="N85" s="6">
        <f t="shared" si="23"/>
        <v>0.25188571428571438</v>
      </c>
      <c r="O85" s="14"/>
      <c r="P85" s="2">
        <f>SUM(OSRRefP22_10x_0)</f>
        <v>2190.8000000000002</v>
      </c>
      <c r="Q85" s="2"/>
      <c r="R85" s="6">
        <f t="shared" si="24"/>
        <v>5.1373674558961879E-4</v>
      </c>
      <c r="S85" s="2"/>
      <c r="T85" s="2">
        <f>SUM(OSRRefT22_10x_0)</f>
        <v>1750</v>
      </c>
      <c r="U85" s="2"/>
      <c r="V85" s="6">
        <f t="shared" si="25"/>
        <v>5.5334026220739765E-4</v>
      </c>
      <c r="W85" s="2"/>
      <c r="X85" s="2">
        <f t="shared" si="26"/>
        <v>440.80000000000018</v>
      </c>
      <c r="Y85" s="2"/>
      <c r="Z85" s="6">
        <f t="shared" si="27"/>
        <v>0.25188571428571438</v>
      </c>
    </row>
    <row r="86" spans="1:26" s="70" customFormat="1" ht="15" hidden="1" customHeight="1" outlineLevel="2" x14ac:dyDescent="0.3">
      <c r="A86" s="26"/>
      <c r="B86" s="12" t="str">
        <f>CONCATENATE("          ","6314"," - ","LIABILITY INSURANCE")</f>
        <v xml:space="preserve">          6314 - LIABILITY INSURANCE</v>
      </c>
      <c r="C86" s="12"/>
      <c r="D86" s="7">
        <v>219.08</v>
      </c>
      <c r="E86" s="3"/>
      <c r="F86" s="8">
        <f t="shared" si="20"/>
        <v>2.7654377139559884E-4</v>
      </c>
      <c r="G86" s="3"/>
      <c r="H86" s="7">
        <v>175</v>
      </c>
      <c r="I86" s="3"/>
      <c r="J86" s="8">
        <f t="shared" si="21"/>
        <v>5.946757827632375E-4</v>
      </c>
      <c r="K86" s="3"/>
      <c r="L86" s="7">
        <f t="shared" si="22"/>
        <v>44.080000000000013</v>
      </c>
      <c r="M86" s="3"/>
      <c r="N86" s="8">
        <f t="shared" si="23"/>
        <v>0.25188571428571438</v>
      </c>
      <c r="O86" s="12"/>
      <c r="P86" s="7">
        <v>2190.8000000000002</v>
      </c>
      <c r="Q86" s="3"/>
      <c r="R86" s="8">
        <f t="shared" si="24"/>
        <v>5.1373674558961879E-4</v>
      </c>
      <c r="S86" s="3"/>
      <c r="T86" s="7">
        <v>1750</v>
      </c>
      <c r="U86" s="3"/>
      <c r="V86" s="8">
        <f t="shared" si="25"/>
        <v>5.5334026220739765E-4</v>
      </c>
      <c r="W86" s="3"/>
      <c r="X86" s="7">
        <f t="shared" si="26"/>
        <v>440.80000000000018</v>
      </c>
      <c r="Y86" s="3"/>
      <c r="Z86" s="8">
        <f t="shared" si="27"/>
        <v>0.25188571428571438</v>
      </c>
    </row>
    <row r="87" spans="1:26" s="69" customFormat="1" ht="15" customHeight="1" outlineLevel="1" collapsed="1" x14ac:dyDescent="0.3">
      <c r="A87" s="25"/>
      <c r="B87" s="14" t="str">
        <f>CONCATENATE("     ","Inventory Adjustment                              ")</f>
        <v xml:space="preserve">     Inventory Adjustment                              </v>
      </c>
      <c r="C87" s="14"/>
      <c r="D87" s="2">
        <f>SUM(OSRRefD22_11x_0)</f>
        <v>4100</v>
      </c>
      <c r="E87" s="2"/>
      <c r="F87" s="6">
        <f t="shared" si="20"/>
        <v>5.1754129209510462E-3</v>
      </c>
      <c r="G87" s="2"/>
      <c r="H87" s="2">
        <f>SUM(OSRRefH22_11x_0)</f>
        <v>4100</v>
      </c>
      <c r="I87" s="2"/>
      <c r="J87" s="6">
        <f t="shared" si="21"/>
        <v>1.3932404053310135E-2</v>
      </c>
      <c r="K87" s="2"/>
      <c r="L87" s="2">
        <f t="shared" si="22"/>
        <v>0</v>
      </c>
      <c r="M87" s="2"/>
      <c r="N87" s="6">
        <f t="shared" si="23"/>
        <v>0</v>
      </c>
      <c r="O87" s="14"/>
      <c r="P87" s="2">
        <f>SUM(OSRRefP22_11x_0)</f>
        <v>41000</v>
      </c>
      <c r="Q87" s="2"/>
      <c r="R87" s="6">
        <f t="shared" si="24"/>
        <v>9.6143904369063206E-3</v>
      </c>
      <c r="S87" s="2"/>
      <c r="T87" s="2">
        <f>SUM(OSRRefT22_11x_0)</f>
        <v>41000</v>
      </c>
      <c r="U87" s="2"/>
      <c r="V87" s="6">
        <f t="shared" si="25"/>
        <v>1.2963971857430458E-2</v>
      </c>
      <c r="W87" s="2"/>
      <c r="X87" s="2">
        <f t="shared" si="26"/>
        <v>0</v>
      </c>
      <c r="Y87" s="2"/>
      <c r="Z87" s="6">
        <f t="shared" si="27"/>
        <v>0</v>
      </c>
    </row>
    <row r="88" spans="1:26" s="70" customFormat="1" ht="15" hidden="1" customHeight="1" outlineLevel="2" x14ac:dyDescent="0.3">
      <c r="A88" s="26"/>
      <c r="B88" s="12" t="str">
        <f>CONCATENATE("          ","6408"," - ","INVENTORY ADJUSTMENT")</f>
        <v xml:space="preserve">          6408 - INVENTORY ADJUSTMENT</v>
      </c>
      <c r="C88" s="12"/>
      <c r="D88" s="7">
        <v>4100</v>
      </c>
      <c r="E88" s="3"/>
      <c r="F88" s="8">
        <f t="shared" si="20"/>
        <v>5.1754129209510462E-3</v>
      </c>
      <c r="G88" s="3"/>
      <c r="H88" s="7">
        <v>4100</v>
      </c>
      <c r="I88" s="3"/>
      <c r="J88" s="8">
        <f t="shared" si="21"/>
        <v>1.3932404053310135E-2</v>
      </c>
      <c r="K88" s="3"/>
      <c r="L88" s="7">
        <f t="shared" si="22"/>
        <v>0</v>
      </c>
      <c r="M88" s="3"/>
      <c r="N88" s="8">
        <f t="shared" si="23"/>
        <v>0</v>
      </c>
      <c r="O88" s="12"/>
      <c r="P88" s="7">
        <v>41000</v>
      </c>
      <c r="Q88" s="3"/>
      <c r="R88" s="8">
        <f t="shared" si="24"/>
        <v>9.6143904369063206E-3</v>
      </c>
      <c r="S88" s="3"/>
      <c r="T88" s="7">
        <v>41000</v>
      </c>
      <c r="U88" s="3"/>
      <c r="V88" s="8">
        <f t="shared" si="25"/>
        <v>1.2963971857430458E-2</v>
      </c>
      <c r="W88" s="3"/>
      <c r="X88" s="7">
        <f t="shared" si="26"/>
        <v>0</v>
      </c>
      <c r="Y88" s="3"/>
      <c r="Z88" s="8">
        <f t="shared" si="27"/>
        <v>0</v>
      </c>
    </row>
    <row r="89" spans="1:26" s="69" customFormat="1" ht="15" customHeight="1" outlineLevel="1" collapsed="1" x14ac:dyDescent="0.3">
      <c r="A89" s="25"/>
      <c r="B89" s="14" t="str">
        <f>CONCATENATE("     ","Professional Services                             ")</f>
        <v xml:space="preserve">     Professional Services                             </v>
      </c>
      <c r="C89" s="14"/>
      <c r="D89" s="2">
        <f>SUM(OSRRefD22_12x_0)</f>
        <v>0</v>
      </c>
      <c r="E89" s="2"/>
      <c r="F89" s="6">
        <f t="shared" si="20"/>
        <v>0</v>
      </c>
      <c r="G89" s="2"/>
      <c r="H89" s="2">
        <f>SUM(OSRRefH22_12x_0)</f>
        <v>250</v>
      </c>
      <c r="I89" s="2"/>
      <c r="J89" s="6">
        <f t="shared" si="21"/>
        <v>8.4953683251891071E-4</v>
      </c>
      <c r="K89" s="2"/>
      <c r="L89" s="2">
        <f t="shared" si="22"/>
        <v>-250</v>
      </c>
      <c r="M89" s="2"/>
      <c r="N89" s="6">
        <f t="shared" si="23"/>
        <v>-1</v>
      </c>
      <c r="O89" s="14"/>
      <c r="P89" s="2">
        <f>SUM(OSRRefP22_12x_0)</f>
        <v>2109.1</v>
      </c>
      <c r="Q89" s="2"/>
      <c r="R89" s="6">
        <f t="shared" si="24"/>
        <v>4.9457831391412491E-4</v>
      </c>
      <c r="S89" s="2"/>
      <c r="T89" s="2">
        <f>SUM(OSRRefT22_12x_0)</f>
        <v>1750</v>
      </c>
      <c r="U89" s="2"/>
      <c r="V89" s="6">
        <f t="shared" si="25"/>
        <v>5.5334026220739765E-4</v>
      </c>
      <c r="W89" s="2"/>
      <c r="X89" s="2">
        <f t="shared" si="26"/>
        <v>359.09999999999991</v>
      </c>
      <c r="Y89" s="2"/>
      <c r="Z89" s="6">
        <f t="shared" si="27"/>
        <v>0.20519999999999994</v>
      </c>
    </row>
    <row r="90" spans="1:26" s="70" customFormat="1" ht="15" hidden="1" customHeight="1" outlineLevel="2" x14ac:dyDescent="0.3">
      <c r="A90" s="26"/>
      <c r="B90" s="12" t="str">
        <f>CONCATENATE("          ","6336"," - ","PROFESSIONAL SERVICES")</f>
        <v xml:space="preserve">          6336 - PROFESSIONAL SERVICES</v>
      </c>
      <c r="C90" s="12"/>
      <c r="D90" s="7"/>
      <c r="E90" s="3"/>
      <c r="F90" s="8">
        <f t="shared" si="20"/>
        <v>0</v>
      </c>
      <c r="G90" s="3"/>
      <c r="H90" s="7">
        <v>250</v>
      </c>
      <c r="I90" s="3"/>
      <c r="J90" s="8">
        <f t="shared" si="21"/>
        <v>8.4953683251891071E-4</v>
      </c>
      <c r="K90" s="3"/>
      <c r="L90" s="7">
        <f t="shared" si="22"/>
        <v>-250</v>
      </c>
      <c r="M90" s="3"/>
      <c r="N90" s="8">
        <f t="shared" si="23"/>
        <v>-1</v>
      </c>
      <c r="O90" s="12"/>
      <c r="P90" s="7">
        <v>2109.1</v>
      </c>
      <c r="Q90" s="3"/>
      <c r="R90" s="8">
        <f t="shared" si="24"/>
        <v>4.9457831391412491E-4</v>
      </c>
      <c r="S90" s="3"/>
      <c r="T90" s="7">
        <v>1750</v>
      </c>
      <c r="U90" s="3"/>
      <c r="V90" s="8">
        <f t="shared" si="25"/>
        <v>5.5334026220739765E-4</v>
      </c>
      <c r="W90" s="3"/>
      <c r="X90" s="7">
        <f t="shared" si="26"/>
        <v>359.09999999999991</v>
      </c>
      <c r="Y90" s="3"/>
      <c r="Z90" s="8">
        <f t="shared" si="27"/>
        <v>0.20519999999999994</v>
      </c>
    </row>
    <row r="91" spans="1:26" s="69" customFormat="1" ht="15" customHeight="1" outlineLevel="1" collapsed="1" x14ac:dyDescent="0.3">
      <c r="A91" s="25"/>
      <c r="B91" s="14" t="str">
        <f>CONCATENATE("     ","Rent                                              ")</f>
        <v xml:space="preserve">     Rent                                              </v>
      </c>
      <c r="C91" s="14"/>
      <c r="D91" s="2">
        <f>SUM(OSRRefD22_13x_0)</f>
        <v>6900</v>
      </c>
      <c r="E91" s="2"/>
      <c r="F91" s="6">
        <f t="shared" si="20"/>
        <v>8.7098412572102976E-3</v>
      </c>
      <c r="G91" s="2"/>
      <c r="H91" s="2">
        <f>SUM(OSRRefH22_13x_0)</f>
        <v>6900</v>
      </c>
      <c r="I91" s="2"/>
      <c r="J91" s="6">
        <f t="shared" si="21"/>
        <v>2.3447216577521936E-2</v>
      </c>
      <c r="K91" s="2"/>
      <c r="L91" s="2">
        <f t="shared" si="22"/>
        <v>0</v>
      </c>
      <c r="M91" s="2"/>
      <c r="N91" s="6">
        <f t="shared" si="23"/>
        <v>0</v>
      </c>
      <c r="O91" s="14"/>
      <c r="P91" s="2">
        <f>SUM(OSRRefP22_13x_0)</f>
        <v>69000</v>
      </c>
      <c r="Q91" s="2"/>
      <c r="R91" s="6">
        <f t="shared" si="24"/>
        <v>1.6180315613330148E-2</v>
      </c>
      <c r="S91" s="2"/>
      <c r="T91" s="2">
        <f>SUM(OSRRefT22_13x_0)</f>
        <v>69000</v>
      </c>
      <c r="U91" s="2"/>
      <c r="V91" s="6">
        <f t="shared" si="25"/>
        <v>2.1817416052748822E-2</v>
      </c>
      <c r="W91" s="2"/>
      <c r="X91" s="2">
        <f t="shared" si="26"/>
        <v>0</v>
      </c>
      <c r="Y91" s="2"/>
      <c r="Z91" s="6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","6273"," - ","RENT")</f>
        <v xml:space="preserve">          6273 - RENT</v>
      </c>
      <c r="C92" s="12"/>
      <c r="D92" s="7">
        <v>6900</v>
      </c>
      <c r="E92" s="3"/>
      <c r="F92" s="8">
        <f t="shared" si="20"/>
        <v>8.7098412572102976E-3</v>
      </c>
      <c r="G92" s="3"/>
      <c r="H92" s="7">
        <v>6900</v>
      </c>
      <c r="I92" s="3"/>
      <c r="J92" s="8">
        <f t="shared" si="21"/>
        <v>2.3447216577521936E-2</v>
      </c>
      <c r="K92" s="3"/>
      <c r="L92" s="7">
        <f t="shared" si="22"/>
        <v>0</v>
      </c>
      <c r="M92" s="3"/>
      <c r="N92" s="8">
        <f t="shared" si="23"/>
        <v>0</v>
      </c>
      <c r="O92" s="12"/>
      <c r="P92" s="7">
        <v>69000</v>
      </c>
      <c r="Q92" s="3"/>
      <c r="R92" s="8">
        <f t="shared" si="24"/>
        <v>1.6180315613330148E-2</v>
      </c>
      <c r="S92" s="3"/>
      <c r="T92" s="7">
        <v>69000</v>
      </c>
      <c r="U92" s="3"/>
      <c r="V92" s="8">
        <f t="shared" si="25"/>
        <v>2.1817416052748822E-2</v>
      </c>
      <c r="W92" s="3"/>
      <c r="X92" s="7">
        <f t="shared" si="26"/>
        <v>0</v>
      </c>
      <c r="Y92" s="3"/>
      <c r="Z92" s="8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","Repair and Maintenance                            ")</f>
        <v xml:space="preserve">     Repair and Maintenance                            </v>
      </c>
      <c r="C93" s="14"/>
      <c r="D93" s="2">
        <f>SUM(OSRRefD22_14x_0)</f>
        <v>2154.4699999999998</v>
      </c>
      <c r="E93" s="2"/>
      <c r="F93" s="6">
        <f t="shared" si="20"/>
        <v>2.7195785062930243E-3</v>
      </c>
      <c r="G93" s="2"/>
      <c r="H93" s="2">
        <f>SUM(OSRRefH22_14x_0)</f>
        <v>115</v>
      </c>
      <c r="I93" s="2"/>
      <c r="J93" s="6">
        <f t="shared" si="21"/>
        <v>3.9078694295869893E-4</v>
      </c>
      <c r="K93" s="2"/>
      <c r="L93" s="2">
        <f t="shared" si="22"/>
        <v>2039.4699999999998</v>
      </c>
      <c r="M93" s="2"/>
      <c r="N93" s="6">
        <f t="shared" si="23"/>
        <v>17.734521739130432</v>
      </c>
      <c r="O93" s="14"/>
      <c r="P93" s="2">
        <f>SUM(OSRRefP22_14x_0)</f>
        <v>6435.8700000000008</v>
      </c>
      <c r="Q93" s="2"/>
      <c r="R93" s="6">
        <f t="shared" si="24"/>
        <v>1.5091943166139583E-3</v>
      </c>
      <c r="S93" s="2"/>
      <c r="T93" s="2">
        <f>SUM(OSRRefT22_14x_0)</f>
        <v>1650</v>
      </c>
      <c r="U93" s="2"/>
      <c r="V93" s="6">
        <f t="shared" si="25"/>
        <v>5.2172081865268919E-4</v>
      </c>
      <c r="W93" s="2"/>
      <c r="X93" s="2">
        <f t="shared" si="26"/>
        <v>4785.8700000000008</v>
      </c>
      <c r="Y93" s="2"/>
      <c r="Z93" s="6">
        <f t="shared" si="27"/>
        <v>2.9005272727272731</v>
      </c>
    </row>
    <row r="94" spans="1:26" s="70" customFormat="1" ht="15" hidden="1" customHeight="1" outlineLevel="2" x14ac:dyDescent="0.3">
      <c r="A94" s="26"/>
      <c r="B94" s="12" t="str">
        <f>CONCATENATE("          ","6373"," - ","MAINTENANCE CONTRACTS")</f>
        <v xml:space="preserve">          6373 - MAINTENANCE CONTRACTS</v>
      </c>
      <c r="C94" s="12"/>
      <c r="D94" s="7"/>
      <c r="E94" s="3"/>
      <c r="F94" s="8">
        <f t="shared" si="20"/>
        <v>0</v>
      </c>
      <c r="G94" s="3"/>
      <c r="H94" s="7">
        <v>115</v>
      </c>
      <c r="I94" s="3"/>
      <c r="J94" s="8">
        <f t="shared" si="21"/>
        <v>3.9078694295869893E-4</v>
      </c>
      <c r="K94" s="3"/>
      <c r="L94" s="7">
        <f t="shared" si="22"/>
        <v>-115</v>
      </c>
      <c r="M94" s="3"/>
      <c r="N94" s="8">
        <f t="shared" si="23"/>
        <v>-1</v>
      </c>
      <c r="O94" s="12"/>
      <c r="P94" s="7">
        <v>1053.73</v>
      </c>
      <c r="Q94" s="3"/>
      <c r="R94" s="8">
        <f t="shared" si="24"/>
        <v>2.4709686914832431E-4</v>
      </c>
      <c r="S94" s="3"/>
      <c r="T94" s="7">
        <v>1150</v>
      </c>
      <c r="U94" s="3"/>
      <c r="V94" s="8">
        <f t="shared" si="25"/>
        <v>3.6362360087914699E-4</v>
      </c>
      <c r="W94" s="3"/>
      <c r="X94" s="7">
        <f t="shared" si="26"/>
        <v>-96.269999999999982</v>
      </c>
      <c r="Y94" s="3"/>
      <c r="Z94" s="8">
        <f t="shared" si="27"/>
        <v>-8.3713043478260848E-2</v>
      </c>
    </row>
    <row r="95" spans="1:26" s="70" customFormat="1" ht="15" hidden="1" customHeight="1" outlineLevel="2" x14ac:dyDescent="0.3">
      <c r="A95" s="26"/>
      <c r="B95" s="12" t="str">
        <f>CONCATENATE("          ","6375"," - ","OUTSIDE REPAIRS &amp; MAINTENANCE")</f>
        <v xml:space="preserve">          6375 - OUTSIDE REPAIRS &amp; MAINTENANCE</v>
      </c>
      <c r="C95" s="12"/>
      <c r="D95" s="7">
        <v>2154.4699999999998</v>
      </c>
      <c r="E95" s="3"/>
      <c r="F95" s="8">
        <f t="shared" si="20"/>
        <v>2.7195785062930243E-3</v>
      </c>
      <c r="G95" s="3"/>
      <c r="H95" s="7">
        <v>0</v>
      </c>
      <c r="I95" s="3"/>
      <c r="J95" s="8">
        <f t="shared" si="21"/>
        <v>0</v>
      </c>
      <c r="K95" s="3"/>
      <c r="L95" s="7">
        <f t="shared" si="22"/>
        <v>2154.4699999999998</v>
      </c>
      <c r="M95" s="3"/>
      <c r="N95" s="8">
        <f t="shared" si="23"/>
        <v>0</v>
      </c>
      <c r="O95" s="12"/>
      <c r="P95" s="7">
        <v>5382.14</v>
      </c>
      <c r="Q95" s="3"/>
      <c r="R95" s="8">
        <f t="shared" si="24"/>
        <v>1.2620974474656338E-3</v>
      </c>
      <c r="S95" s="3"/>
      <c r="T95" s="7">
        <v>500</v>
      </c>
      <c r="U95" s="3"/>
      <c r="V95" s="8">
        <f t="shared" si="25"/>
        <v>1.5809721777354217E-4</v>
      </c>
      <c r="W95" s="3"/>
      <c r="X95" s="7">
        <f t="shared" si="26"/>
        <v>4882.1400000000003</v>
      </c>
      <c r="Y95" s="3"/>
      <c r="Z95" s="8">
        <f t="shared" si="27"/>
        <v>9.7642800000000012</v>
      </c>
    </row>
    <row r="96" spans="1:26" s="69" customFormat="1" ht="15" customHeight="1" outlineLevel="1" collapsed="1" x14ac:dyDescent="0.3">
      <c r="A96" s="25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2">
        <f>SUM(OSRRefD22_15x_0)</f>
        <v>26841.57</v>
      </c>
      <c r="E96" s="2"/>
      <c r="F96" s="6">
        <f t="shared" si="20"/>
        <v>3.3882001999173655E-2</v>
      </c>
      <c r="G96" s="2"/>
      <c r="H96" s="2">
        <f>SUM(OSRRefH22_15x_0)</f>
        <v>16503</v>
      </c>
      <c r="I96" s="2"/>
      <c r="J96" s="6">
        <f t="shared" si="21"/>
        <v>5.6079625388238331E-2</v>
      </c>
      <c r="K96" s="2"/>
      <c r="L96" s="2">
        <f t="shared" si="22"/>
        <v>10338.57</v>
      </c>
      <c r="M96" s="2"/>
      <c r="N96" s="6">
        <f t="shared" si="23"/>
        <v>0.6264660970732594</v>
      </c>
      <c r="O96" s="14"/>
      <c r="P96" s="2">
        <f>SUM(OSRRefP22_15x_0)</f>
        <v>69571.88</v>
      </c>
      <c r="Q96" s="2"/>
      <c r="R96" s="6">
        <f t="shared" si="24"/>
        <v>1.6314419945112051E-2</v>
      </c>
      <c r="S96" s="2"/>
      <c r="T96" s="2">
        <f>SUM(OSRRefT22_15x_0)</f>
        <v>55532</v>
      </c>
      <c r="U96" s="2"/>
      <c r="V96" s="6">
        <f t="shared" si="25"/>
        <v>1.755890939480069E-2</v>
      </c>
      <c r="W96" s="2"/>
      <c r="X96" s="2">
        <f t="shared" si="26"/>
        <v>14039.880000000005</v>
      </c>
      <c r="Y96" s="2"/>
      <c r="Z96" s="6">
        <f t="shared" si="27"/>
        <v>0.2528250378160341</v>
      </c>
    </row>
    <row r="97" spans="1:26" s="70" customFormat="1" ht="15" hidden="1" customHeight="1" outlineLevel="2" x14ac:dyDescent="0.3">
      <c r="A97" s="26"/>
      <c r="B97" s="12" t="str">
        <f>CONCATENATE("          ","6252"," - ","ROYALTY DUE CSTV")</f>
        <v xml:space="preserve">          6252 - ROYALTY DUE CSTV</v>
      </c>
      <c r="C97" s="12"/>
      <c r="D97" s="7"/>
      <c r="E97" s="3"/>
      <c r="F97" s="8">
        <f t="shared" si="20"/>
        <v>0</v>
      </c>
      <c r="G97" s="3"/>
      <c r="H97" s="7">
        <v>948</v>
      </c>
      <c r="I97" s="3"/>
      <c r="J97" s="8">
        <f t="shared" si="21"/>
        <v>3.2214436689117095E-3</v>
      </c>
      <c r="K97" s="3"/>
      <c r="L97" s="7">
        <f t="shared" si="22"/>
        <v>-948</v>
      </c>
      <c r="M97" s="3"/>
      <c r="N97" s="8">
        <f t="shared" si="23"/>
        <v>-1</v>
      </c>
      <c r="O97" s="12"/>
      <c r="P97" s="7"/>
      <c r="Q97" s="3"/>
      <c r="R97" s="8">
        <f t="shared" si="24"/>
        <v>0</v>
      </c>
      <c r="S97" s="3"/>
      <c r="T97" s="7">
        <v>13530</v>
      </c>
      <c r="U97" s="3"/>
      <c r="V97" s="8">
        <f t="shared" si="25"/>
        <v>4.2781107129520515E-3</v>
      </c>
      <c r="W97" s="3"/>
      <c r="X97" s="7">
        <f t="shared" si="26"/>
        <v>-13530</v>
      </c>
      <c r="Y97" s="3"/>
      <c r="Z97" s="8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","6253"," - ","ROYALTY DUE ATHLETICS-LRG")</f>
        <v xml:space="preserve">          6253 - ROYALTY DUE ATHLETICS-LRG</v>
      </c>
      <c r="C98" s="12"/>
      <c r="D98" s="7">
        <v>15944.33</v>
      </c>
      <c r="E98" s="3"/>
      <c r="F98" s="8">
        <f t="shared" si="20"/>
        <v>2.0126461340953024E-2</v>
      </c>
      <c r="G98" s="3"/>
      <c r="H98" s="7">
        <v>14555</v>
      </c>
      <c r="I98" s="3"/>
      <c r="J98" s="8">
        <f t="shared" si="21"/>
        <v>4.9460034389250979E-2</v>
      </c>
      <c r="K98" s="3"/>
      <c r="L98" s="7">
        <f t="shared" si="22"/>
        <v>1389.33</v>
      </c>
      <c r="M98" s="3"/>
      <c r="N98" s="8">
        <f t="shared" si="23"/>
        <v>9.5453795946410167E-2</v>
      </c>
      <c r="O98" s="12"/>
      <c r="P98" s="7">
        <v>55165.49</v>
      </c>
      <c r="Q98" s="3"/>
      <c r="R98" s="8">
        <f t="shared" si="24"/>
        <v>1.2936159987884176E-2</v>
      </c>
      <c r="S98" s="3"/>
      <c r="T98" s="7">
        <v>38502</v>
      </c>
      <c r="U98" s="3"/>
      <c r="V98" s="8">
        <f t="shared" si="25"/>
        <v>1.2174118157433841E-2</v>
      </c>
      <c r="W98" s="3"/>
      <c r="X98" s="7">
        <f t="shared" si="26"/>
        <v>16663.489999999998</v>
      </c>
      <c r="Y98" s="3"/>
      <c r="Z98" s="8">
        <f t="shared" si="27"/>
        <v>0.4327954391979637</v>
      </c>
    </row>
    <row r="99" spans="1:26" s="70" customFormat="1" ht="15" hidden="1" customHeight="1" outlineLevel="2" x14ac:dyDescent="0.3">
      <c r="A99" s="26"/>
      <c r="B99" s="12" t="str">
        <f>CONCATENATE("          ","6254"," - ","ROYALTY &amp; COMMISSIONS")</f>
        <v xml:space="preserve">          6254 - ROYALTY &amp; COMMISSIONS</v>
      </c>
      <c r="C99" s="12"/>
      <c r="D99" s="7">
        <v>10897.24</v>
      </c>
      <c r="E99" s="3"/>
      <c r="F99" s="8">
        <f t="shared" si="20"/>
        <v>1.3755540658220629E-2</v>
      </c>
      <c r="G99" s="3"/>
      <c r="H99" s="7">
        <v>1000</v>
      </c>
      <c r="I99" s="3"/>
      <c r="J99" s="8">
        <f t="shared" si="21"/>
        <v>3.3981473300756428E-3</v>
      </c>
      <c r="K99" s="3"/>
      <c r="L99" s="7">
        <f t="shared" si="22"/>
        <v>9897.24</v>
      </c>
      <c r="M99" s="3"/>
      <c r="N99" s="8">
        <f t="shared" si="23"/>
        <v>9.89724</v>
      </c>
      <c r="O99" s="12"/>
      <c r="P99" s="7">
        <v>14406.39</v>
      </c>
      <c r="Q99" s="3"/>
      <c r="R99" s="8">
        <f t="shared" si="24"/>
        <v>3.378259957227874E-3</v>
      </c>
      <c r="S99" s="3"/>
      <c r="T99" s="7">
        <v>3500</v>
      </c>
      <c r="U99" s="3"/>
      <c r="V99" s="8">
        <f t="shared" si="25"/>
        <v>1.1066805244147953E-3</v>
      </c>
      <c r="W99" s="3"/>
      <c r="X99" s="7">
        <f t="shared" si="26"/>
        <v>10906.39</v>
      </c>
      <c r="Y99" s="3"/>
      <c r="Z99" s="8">
        <f t="shared" si="27"/>
        <v>3.1161114285714282</v>
      </c>
    </row>
    <row r="100" spans="1:26" s="69" customFormat="1" ht="15" customHeight="1" outlineLevel="1" collapsed="1" x14ac:dyDescent="0.3">
      <c r="A100" s="25"/>
      <c r="B100" s="14" t="str">
        <f>CONCATENATE("     ","Services                                          ")</f>
        <v xml:space="preserve">     Services                                          </v>
      </c>
      <c r="C100" s="14"/>
      <c r="D100" s="2">
        <f>SUM(OSRRefD22_16x_0)</f>
        <v>278.56</v>
      </c>
      <c r="E100" s="2"/>
      <c r="F100" s="6">
        <f t="shared" si="20"/>
        <v>3.5162512762442036E-4</v>
      </c>
      <c r="G100" s="2"/>
      <c r="H100" s="2">
        <f>SUM(OSRRefH22_16x_0)</f>
        <v>60</v>
      </c>
      <c r="I100" s="2"/>
      <c r="J100" s="6">
        <f t="shared" si="21"/>
        <v>2.0388883980453857E-4</v>
      </c>
      <c r="K100" s="2"/>
      <c r="L100" s="2">
        <f t="shared" si="22"/>
        <v>218.56</v>
      </c>
      <c r="M100" s="2"/>
      <c r="N100" s="6">
        <f t="shared" si="23"/>
        <v>3.6426666666666665</v>
      </c>
      <c r="O100" s="14"/>
      <c r="P100" s="2">
        <f>SUM(OSRRefP22_16x_0)</f>
        <v>6037.48</v>
      </c>
      <c r="Q100" s="2"/>
      <c r="R100" s="6">
        <f t="shared" si="24"/>
        <v>1.4157729262198333E-3</v>
      </c>
      <c r="S100" s="2"/>
      <c r="T100" s="2">
        <f>SUM(OSRRefT22_16x_0)</f>
        <v>780</v>
      </c>
      <c r="U100" s="2"/>
      <c r="V100" s="6">
        <f t="shared" si="25"/>
        <v>2.4663165972672581E-4</v>
      </c>
      <c r="W100" s="2"/>
      <c r="X100" s="2">
        <f t="shared" si="26"/>
        <v>5257.48</v>
      </c>
      <c r="Y100" s="2"/>
      <c r="Z100" s="6">
        <f t="shared" si="27"/>
        <v>6.7403589743589736</v>
      </c>
    </row>
    <row r="101" spans="1:26" s="70" customFormat="1" ht="15" hidden="1" customHeight="1" outlineLevel="2" x14ac:dyDescent="0.3">
      <c r="A101" s="26"/>
      <c r="B101" s="12" t="str">
        <f>CONCATENATE("          ","6282"," - ","JANITORIAL/EXTERMINATOR EXPENS")</f>
        <v xml:space="preserve">          6282 - JANITORIAL/EXTERMINATOR EXPENS</v>
      </c>
      <c r="C101" s="12"/>
      <c r="D101" s="7">
        <v>69</v>
      </c>
      <c r="E101" s="3"/>
      <c r="F101" s="8">
        <f t="shared" si="20"/>
        <v>8.7098412572102972E-5</v>
      </c>
      <c r="G101" s="3"/>
      <c r="H101" s="7"/>
      <c r="I101" s="3"/>
      <c r="J101" s="8">
        <f t="shared" si="21"/>
        <v>0</v>
      </c>
      <c r="K101" s="3"/>
      <c r="L101" s="7">
        <f t="shared" si="22"/>
        <v>69</v>
      </c>
      <c r="M101" s="3"/>
      <c r="N101" s="8">
        <f t="shared" si="23"/>
        <v>0</v>
      </c>
      <c r="O101" s="12"/>
      <c r="P101" s="7">
        <v>905.6</v>
      </c>
      <c r="Q101" s="3"/>
      <c r="R101" s="8">
        <f t="shared" si="24"/>
        <v>2.1236077999176498E-4</v>
      </c>
      <c r="S101" s="3"/>
      <c r="T101" s="7"/>
      <c r="U101" s="3"/>
      <c r="V101" s="8">
        <f t="shared" si="25"/>
        <v>0</v>
      </c>
      <c r="W101" s="3"/>
      <c r="X101" s="7">
        <f t="shared" si="26"/>
        <v>905.6</v>
      </c>
      <c r="Y101" s="3"/>
      <c r="Z101" s="8">
        <f t="shared" si="27"/>
        <v>0</v>
      </c>
    </row>
    <row r="102" spans="1:26" s="70" customFormat="1" ht="15" hidden="1" customHeight="1" outlineLevel="2" x14ac:dyDescent="0.3">
      <c r="A102" s="26"/>
      <c r="B102" s="12" t="str">
        <f>CONCATENATE("          ","6284"," - ","TRASH REMOVAL EXPENSE")</f>
        <v xml:space="preserve">          6284 - TRASH REMOVAL EXPENSE</v>
      </c>
      <c r="C102" s="12"/>
      <c r="D102" s="7"/>
      <c r="E102" s="3"/>
      <c r="F102" s="8">
        <f t="shared" si="20"/>
        <v>0</v>
      </c>
      <c r="G102" s="3"/>
      <c r="H102" s="7">
        <v>60</v>
      </c>
      <c r="I102" s="3"/>
      <c r="J102" s="8">
        <f t="shared" si="21"/>
        <v>2.0388883980453857E-4</v>
      </c>
      <c r="K102" s="3"/>
      <c r="L102" s="7">
        <f t="shared" si="22"/>
        <v>-60</v>
      </c>
      <c r="M102" s="3"/>
      <c r="N102" s="8">
        <f t="shared" si="23"/>
        <v>-1</v>
      </c>
      <c r="O102" s="12"/>
      <c r="P102" s="7">
        <v>1340.17</v>
      </c>
      <c r="Q102" s="3"/>
      <c r="R102" s="8">
        <f t="shared" si="24"/>
        <v>3.1426628370314008E-4</v>
      </c>
      <c r="S102" s="3"/>
      <c r="T102" s="7">
        <v>780</v>
      </c>
      <c r="U102" s="3"/>
      <c r="V102" s="8">
        <f t="shared" si="25"/>
        <v>2.4663165972672581E-4</v>
      </c>
      <c r="W102" s="3"/>
      <c r="X102" s="7">
        <f t="shared" si="26"/>
        <v>560.17000000000007</v>
      </c>
      <c r="Y102" s="3"/>
      <c r="Z102" s="8">
        <f t="shared" si="27"/>
        <v>0.71816666666666673</v>
      </c>
    </row>
    <row r="103" spans="1:26" s="70" customFormat="1" ht="15" hidden="1" customHeight="1" outlineLevel="2" x14ac:dyDescent="0.3">
      <c r="A103" s="26"/>
      <c r="B103" s="12" t="str">
        <f>CONCATENATE("          ","6285"," - ","JANITORIAL SERVICES")</f>
        <v xml:space="preserve">          6285 - JANITORIAL SERVICES</v>
      </c>
      <c r="C103" s="12"/>
      <c r="D103" s="7">
        <v>209.56</v>
      </c>
      <c r="E103" s="3"/>
      <c r="F103" s="8">
        <f t="shared" si="20"/>
        <v>2.6452671505231739E-4</v>
      </c>
      <c r="G103" s="3"/>
      <c r="H103" s="7"/>
      <c r="I103" s="3"/>
      <c r="J103" s="8">
        <f t="shared" si="21"/>
        <v>0</v>
      </c>
      <c r="K103" s="3"/>
      <c r="L103" s="7">
        <f t="shared" si="22"/>
        <v>209.56</v>
      </c>
      <c r="M103" s="3"/>
      <c r="N103" s="8">
        <f t="shared" si="23"/>
        <v>0</v>
      </c>
      <c r="O103" s="12"/>
      <c r="P103" s="7">
        <v>3791.71</v>
      </c>
      <c r="Q103" s="3"/>
      <c r="R103" s="8">
        <f t="shared" si="24"/>
        <v>8.8914586252492847E-4</v>
      </c>
      <c r="S103" s="3"/>
      <c r="T103" s="7"/>
      <c r="U103" s="3"/>
      <c r="V103" s="8">
        <f t="shared" si="25"/>
        <v>0</v>
      </c>
      <c r="W103" s="3"/>
      <c r="X103" s="7">
        <f t="shared" si="26"/>
        <v>3791.71</v>
      </c>
      <c r="Y103" s="3"/>
      <c r="Z103" s="8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2">
        <f>SUM(OSRRefD22_17x_0)</f>
        <v>0</v>
      </c>
      <c r="E104" s="2"/>
      <c r="F104" s="6">
        <f t="shared" si="20"/>
        <v>0</v>
      </c>
      <c r="G104" s="2"/>
      <c r="H104" s="2">
        <f>SUM(OSRRefH22_17x_0)</f>
        <v>161</v>
      </c>
      <c r="I104" s="2"/>
      <c r="J104" s="6">
        <f t="shared" si="21"/>
        <v>5.4710172014217845E-4</v>
      </c>
      <c r="K104" s="2"/>
      <c r="L104" s="2">
        <f t="shared" si="22"/>
        <v>-161</v>
      </c>
      <c r="M104" s="2"/>
      <c r="N104" s="6">
        <f t="shared" si="23"/>
        <v>-1</v>
      </c>
      <c r="O104" s="14"/>
      <c r="P104" s="2">
        <f>SUM(OSRRefP22_17x_0)</f>
        <v>170.27</v>
      </c>
      <c r="Q104" s="2"/>
      <c r="R104" s="6">
        <f t="shared" si="24"/>
        <v>3.9927859992488761E-5</v>
      </c>
      <c r="S104" s="2"/>
      <c r="T104" s="2">
        <f>SUM(OSRRefT22_17x_0)</f>
        <v>2505</v>
      </c>
      <c r="U104" s="2"/>
      <c r="V104" s="6">
        <f t="shared" si="25"/>
        <v>7.9206706104544629E-4</v>
      </c>
      <c r="W104" s="2"/>
      <c r="X104" s="2">
        <f t="shared" si="26"/>
        <v>-2334.73</v>
      </c>
      <c r="Y104" s="2"/>
      <c r="Z104" s="6">
        <f t="shared" si="27"/>
        <v>-0.93202794411177647</v>
      </c>
    </row>
    <row r="105" spans="1:26" s="70" customFormat="1" ht="15" hidden="1" customHeight="1" outlineLevel="2" x14ac:dyDescent="0.3">
      <c r="A105" s="26"/>
      <c r="B105" s="12" t="str">
        <f>CONCATENATE("          ","6258"," - ","MEMBERSHIP DUES")</f>
        <v xml:space="preserve">          6258 - MEMBERSHIP DUES</v>
      </c>
      <c r="C105" s="12"/>
      <c r="D105" s="7"/>
      <c r="E105" s="3"/>
      <c r="F105" s="8">
        <f t="shared" si="20"/>
        <v>0</v>
      </c>
      <c r="G105" s="3"/>
      <c r="H105" s="7">
        <v>0</v>
      </c>
      <c r="I105" s="3"/>
      <c r="J105" s="8">
        <f t="shared" si="21"/>
        <v>0</v>
      </c>
      <c r="K105" s="3"/>
      <c r="L105" s="7">
        <f t="shared" si="22"/>
        <v>0</v>
      </c>
      <c r="M105" s="3"/>
      <c r="N105" s="8">
        <f t="shared" si="23"/>
        <v>0</v>
      </c>
      <c r="O105" s="12"/>
      <c r="P105" s="7">
        <v>170.27</v>
      </c>
      <c r="Q105" s="3"/>
      <c r="R105" s="8">
        <f t="shared" si="24"/>
        <v>3.9927859992488761E-5</v>
      </c>
      <c r="S105" s="3"/>
      <c r="T105" s="7">
        <v>1395</v>
      </c>
      <c r="U105" s="3"/>
      <c r="V105" s="8">
        <f t="shared" si="25"/>
        <v>4.410912375881827E-4</v>
      </c>
      <c r="W105" s="3"/>
      <c r="X105" s="7">
        <f t="shared" si="26"/>
        <v>-1224.73</v>
      </c>
      <c r="Y105" s="3"/>
      <c r="Z105" s="8">
        <f t="shared" si="27"/>
        <v>-0.87794265232974911</v>
      </c>
    </row>
    <row r="106" spans="1:26" s="70" customFormat="1" ht="15" hidden="1" customHeight="1" outlineLevel="2" x14ac:dyDescent="0.3">
      <c r="A106" s="26"/>
      <c r="B106" s="12" t="str">
        <f>CONCATENATE("          ","6275"," - ","SUBSCRIPTIONS")</f>
        <v xml:space="preserve">          6275 - SUBSCRIPTIONS</v>
      </c>
      <c r="C106" s="12"/>
      <c r="D106" s="7"/>
      <c r="E106" s="3"/>
      <c r="F106" s="8">
        <f t="shared" si="20"/>
        <v>0</v>
      </c>
      <c r="G106" s="3"/>
      <c r="H106" s="7">
        <v>161</v>
      </c>
      <c r="I106" s="3"/>
      <c r="J106" s="8">
        <f t="shared" si="21"/>
        <v>5.4710172014217845E-4</v>
      </c>
      <c r="K106" s="3"/>
      <c r="L106" s="7">
        <f t="shared" si="22"/>
        <v>-161</v>
      </c>
      <c r="M106" s="3"/>
      <c r="N106" s="8">
        <f t="shared" si="23"/>
        <v>-1</v>
      </c>
      <c r="O106" s="12"/>
      <c r="P106" s="7"/>
      <c r="Q106" s="3"/>
      <c r="R106" s="8">
        <f t="shared" si="24"/>
        <v>0</v>
      </c>
      <c r="S106" s="3"/>
      <c r="T106" s="7">
        <v>1110</v>
      </c>
      <c r="U106" s="3"/>
      <c r="V106" s="8">
        <f t="shared" si="25"/>
        <v>3.5097582345726365E-4</v>
      </c>
      <c r="W106" s="3"/>
      <c r="X106" s="7">
        <f t="shared" si="26"/>
        <v>-1110</v>
      </c>
      <c r="Y106" s="3"/>
      <c r="Z106" s="8">
        <f t="shared" si="27"/>
        <v>-1</v>
      </c>
    </row>
    <row r="107" spans="1:26" s="69" customFormat="1" ht="15" customHeight="1" outlineLevel="1" collapsed="1" x14ac:dyDescent="0.3">
      <c r="A107" s="25"/>
      <c r="B107" s="14" t="str">
        <f>CONCATENATE("     ","Supplies                                          ")</f>
        <v xml:space="preserve">     Supplies                                          </v>
      </c>
      <c r="C107" s="14"/>
      <c r="D107" s="2">
        <f>SUM(OSRRefD22_18x_0)</f>
        <v>794.12</v>
      </c>
      <c r="E107" s="2"/>
      <c r="F107" s="6">
        <f t="shared" si="20"/>
        <v>1.0024143679964988E-3</v>
      </c>
      <c r="G107" s="2"/>
      <c r="H107" s="2">
        <f>SUM(OSRRefH22_18x_0)</f>
        <v>180</v>
      </c>
      <c r="I107" s="2"/>
      <c r="J107" s="6">
        <f t="shared" si="21"/>
        <v>6.1166651941361571E-4</v>
      </c>
      <c r="K107" s="2"/>
      <c r="L107" s="2">
        <f t="shared" si="22"/>
        <v>614.12</v>
      </c>
      <c r="M107" s="2"/>
      <c r="N107" s="6">
        <f t="shared" si="23"/>
        <v>3.411777777777778</v>
      </c>
      <c r="O107" s="14"/>
      <c r="P107" s="2">
        <f>SUM(OSRRefP22_18x_0)</f>
        <v>12065.23</v>
      </c>
      <c r="Q107" s="2"/>
      <c r="R107" s="6">
        <f t="shared" si="24"/>
        <v>2.8292641934408594E-3</v>
      </c>
      <c r="S107" s="2"/>
      <c r="T107" s="2">
        <f>SUM(OSRRefT22_18x_0)</f>
        <v>1880</v>
      </c>
      <c r="U107" s="2"/>
      <c r="V107" s="6">
        <f t="shared" si="25"/>
        <v>5.9444553882851857E-4</v>
      </c>
      <c r="W107" s="2"/>
      <c r="X107" s="2">
        <f t="shared" si="26"/>
        <v>10185.23</v>
      </c>
      <c r="Y107" s="2"/>
      <c r="Z107" s="6">
        <f t="shared" si="27"/>
        <v>5.4176755319148935</v>
      </c>
    </row>
    <row r="108" spans="1:26" s="70" customFormat="1" ht="15" hidden="1" customHeight="1" outlineLevel="2" x14ac:dyDescent="0.3">
      <c r="A108" s="26"/>
      <c r="B108" s="12" t="str">
        <f>CONCATENATE("          ","6234"," - ","EXPENDABLE SUPPLIES &amp; EQUIPMEN")</f>
        <v xml:space="preserve">          6234 - EXPENDABLE SUPPLIES &amp; EQUIPMEN</v>
      </c>
      <c r="C108" s="12"/>
      <c r="D108" s="7"/>
      <c r="E108" s="3"/>
      <c r="F108" s="8">
        <f t="shared" ref="F108:F122" si="28">IF(D$12=0,0,D108/D$12)</f>
        <v>0</v>
      </c>
      <c r="G108" s="3"/>
      <c r="H108" s="7"/>
      <c r="I108" s="3"/>
      <c r="J108" s="8">
        <f t="shared" ref="J108:J122" si="29">IF(H$12=0,0,H108/H$12)</f>
        <v>0</v>
      </c>
      <c r="K108" s="3"/>
      <c r="L108" s="7">
        <f t="shared" ref="L108:L122" si="30">+D108-H108</f>
        <v>0</v>
      </c>
      <c r="M108" s="3"/>
      <c r="N108" s="8">
        <f t="shared" ref="N108:N122" si="31">IF(H108=0,0,L108/H108)</f>
        <v>0</v>
      </c>
      <c r="O108" s="12"/>
      <c r="P108" s="7">
        <v>1393.55</v>
      </c>
      <c r="Q108" s="3"/>
      <c r="R108" s="8">
        <f t="shared" ref="R108:R122" si="32">IF(P$12=0,0,P108/P$12)</f>
        <v>3.2678375105733664E-4</v>
      </c>
      <c r="S108" s="3"/>
      <c r="T108" s="7"/>
      <c r="U108" s="3"/>
      <c r="V108" s="8">
        <f t="shared" ref="V108:V122" si="33">IF(T$12=0,0,T108/T$12)</f>
        <v>0</v>
      </c>
      <c r="W108" s="3"/>
      <c r="X108" s="7">
        <f t="shared" ref="X108:X122" si="34">+P108-T108</f>
        <v>1393.55</v>
      </c>
      <c r="Y108" s="3"/>
      <c r="Z108" s="8">
        <f t="shared" ref="Z108:Z122" si="35">IF(T108=0,0,X108/T108)</f>
        <v>0</v>
      </c>
    </row>
    <row r="109" spans="1:26" s="70" customFormat="1" ht="15" hidden="1" customHeight="1" outlineLevel="2" x14ac:dyDescent="0.3">
      <c r="A109" s="26"/>
      <c r="B109" s="12" t="str">
        <f>CONCATENATE("          ","6235"," - ","COVID-19 EXPENSES")</f>
        <v xml:space="preserve">          6235 - COVID-19 EXPENSES</v>
      </c>
      <c r="C109" s="12"/>
      <c r="D109" s="7"/>
      <c r="E109" s="3"/>
      <c r="F109" s="8">
        <f t="shared" si="28"/>
        <v>0</v>
      </c>
      <c r="G109" s="3"/>
      <c r="H109" s="7">
        <v>25</v>
      </c>
      <c r="I109" s="3"/>
      <c r="J109" s="8">
        <f t="shared" si="29"/>
        <v>8.4953683251891071E-5</v>
      </c>
      <c r="K109" s="3"/>
      <c r="L109" s="7">
        <f t="shared" si="30"/>
        <v>-25</v>
      </c>
      <c r="M109" s="3"/>
      <c r="N109" s="8">
        <f t="shared" si="31"/>
        <v>-1</v>
      </c>
      <c r="O109" s="12"/>
      <c r="P109" s="7"/>
      <c r="Q109" s="3"/>
      <c r="R109" s="8">
        <f t="shared" si="32"/>
        <v>0</v>
      </c>
      <c r="S109" s="3"/>
      <c r="T109" s="7">
        <v>250</v>
      </c>
      <c r="U109" s="3"/>
      <c r="V109" s="8">
        <f t="shared" si="33"/>
        <v>7.9048608886771087E-5</v>
      </c>
      <c r="W109" s="3"/>
      <c r="X109" s="7">
        <f t="shared" si="34"/>
        <v>-250</v>
      </c>
      <c r="Y109" s="3"/>
      <c r="Z109" s="8">
        <f t="shared" si="35"/>
        <v>-1</v>
      </c>
    </row>
    <row r="110" spans="1:26" s="70" customFormat="1" ht="15" hidden="1" customHeight="1" outlineLevel="2" x14ac:dyDescent="0.3">
      <c r="A110" s="26"/>
      <c r="B110" s="12" t="str">
        <f>CONCATENATE("          ","6237"," - ","JANITORIAL SUPPLIES")</f>
        <v xml:space="preserve">          6237 - JANITORIAL SUPPLIES</v>
      </c>
      <c r="C110" s="12"/>
      <c r="D110" s="7">
        <v>692.84</v>
      </c>
      <c r="E110" s="3"/>
      <c r="F110" s="8">
        <f t="shared" si="28"/>
        <v>8.7456904589066416E-4</v>
      </c>
      <c r="G110" s="3"/>
      <c r="H110" s="7">
        <v>10</v>
      </c>
      <c r="I110" s="3"/>
      <c r="J110" s="8">
        <f t="shared" si="29"/>
        <v>3.3981473300756428E-5</v>
      </c>
      <c r="K110" s="3"/>
      <c r="L110" s="7">
        <f t="shared" si="30"/>
        <v>682.84</v>
      </c>
      <c r="M110" s="3"/>
      <c r="N110" s="8">
        <f t="shared" si="31"/>
        <v>68.284000000000006</v>
      </c>
      <c r="O110" s="12"/>
      <c r="P110" s="7">
        <v>770.01</v>
      </c>
      <c r="Q110" s="3"/>
      <c r="R110" s="8">
        <f t="shared" si="32"/>
        <v>1.8056528732493258E-4</v>
      </c>
      <c r="S110" s="3"/>
      <c r="T110" s="7">
        <v>180</v>
      </c>
      <c r="U110" s="3"/>
      <c r="V110" s="8">
        <f t="shared" si="33"/>
        <v>5.6914998398475186E-5</v>
      </c>
      <c r="W110" s="3"/>
      <c r="X110" s="7">
        <f t="shared" si="34"/>
        <v>590.01</v>
      </c>
      <c r="Y110" s="3"/>
      <c r="Z110" s="8">
        <f t="shared" si="35"/>
        <v>3.2778333333333332</v>
      </c>
    </row>
    <row r="111" spans="1:26" s="70" customFormat="1" ht="15" hidden="1" customHeight="1" outlineLevel="2" x14ac:dyDescent="0.3">
      <c r="A111" s="26"/>
      <c r="B111" s="12" t="str">
        <f>CONCATENATE("          ","6241"," - ","OFFICE EXPENSE")</f>
        <v xml:space="preserve">          6241 - OFFICE EXPENSE</v>
      </c>
      <c r="C111" s="12"/>
      <c r="D111" s="7">
        <v>344.18</v>
      </c>
      <c r="E111" s="3"/>
      <c r="F111" s="8">
        <f t="shared" si="28"/>
        <v>4.3445698027632469E-4</v>
      </c>
      <c r="G111" s="3"/>
      <c r="H111" s="7">
        <v>70</v>
      </c>
      <c r="I111" s="3"/>
      <c r="J111" s="8">
        <f t="shared" si="29"/>
        <v>2.37870313105295E-4</v>
      </c>
      <c r="K111" s="3"/>
      <c r="L111" s="7">
        <f t="shared" si="30"/>
        <v>274.18</v>
      </c>
      <c r="M111" s="3"/>
      <c r="N111" s="8">
        <f t="shared" si="31"/>
        <v>3.9168571428571428</v>
      </c>
      <c r="O111" s="12"/>
      <c r="P111" s="7">
        <v>2637.02</v>
      </c>
      <c r="Q111" s="3"/>
      <c r="R111" s="8">
        <f t="shared" si="32"/>
        <v>6.183741431690416E-4</v>
      </c>
      <c r="S111" s="3"/>
      <c r="T111" s="7">
        <v>700</v>
      </c>
      <c r="U111" s="3"/>
      <c r="V111" s="8">
        <f t="shared" si="33"/>
        <v>2.2133610488295904E-4</v>
      </c>
      <c r="W111" s="3"/>
      <c r="X111" s="7">
        <f t="shared" si="34"/>
        <v>1937.02</v>
      </c>
      <c r="Y111" s="3"/>
      <c r="Z111" s="8">
        <f t="shared" si="35"/>
        <v>2.7671714285714284</v>
      </c>
    </row>
    <row r="112" spans="1:26" s="70" customFormat="1" ht="15" hidden="1" customHeight="1" outlineLevel="2" x14ac:dyDescent="0.3">
      <c r="A112" s="26"/>
      <c r="B112" s="12" t="str">
        <f>CONCATENATE("          ","6245"," - ","PRINTING")</f>
        <v xml:space="preserve">          6245 - PRINTING</v>
      </c>
      <c r="C112" s="12"/>
      <c r="D112" s="7"/>
      <c r="E112" s="3"/>
      <c r="F112" s="8">
        <f t="shared" si="28"/>
        <v>0</v>
      </c>
      <c r="G112" s="3"/>
      <c r="H112" s="7"/>
      <c r="I112" s="3"/>
      <c r="J112" s="8">
        <f t="shared" si="29"/>
        <v>0</v>
      </c>
      <c r="K112" s="3"/>
      <c r="L112" s="7">
        <f t="shared" si="30"/>
        <v>0</v>
      </c>
      <c r="M112" s="3"/>
      <c r="N112" s="8">
        <f t="shared" si="31"/>
        <v>0</v>
      </c>
      <c r="O112" s="12"/>
      <c r="P112" s="7">
        <v>35.549999999999997</v>
      </c>
      <c r="Q112" s="3"/>
      <c r="R112" s="8">
        <f t="shared" si="32"/>
        <v>8.3363800007809667E-6</v>
      </c>
      <c r="S112" s="3"/>
      <c r="T112" s="7"/>
      <c r="U112" s="3"/>
      <c r="V112" s="8">
        <f t="shared" si="33"/>
        <v>0</v>
      </c>
      <c r="W112" s="3"/>
      <c r="X112" s="7">
        <f t="shared" si="34"/>
        <v>35.549999999999997</v>
      </c>
      <c r="Y112" s="3"/>
      <c r="Z112" s="8">
        <f t="shared" si="35"/>
        <v>0</v>
      </c>
    </row>
    <row r="113" spans="1:26" s="70" customFormat="1" ht="15" hidden="1" customHeight="1" outlineLevel="2" x14ac:dyDescent="0.3">
      <c r="A113" s="26"/>
      <c r="B113" s="12" t="str">
        <f>CONCATENATE("          ","6247"," - ","STORE SUPPLIES")</f>
        <v xml:space="preserve">          6247 - STORE SUPPLIES</v>
      </c>
      <c r="C113" s="12"/>
      <c r="D113" s="7">
        <v>-242.9</v>
      </c>
      <c r="E113" s="3"/>
      <c r="F113" s="8">
        <f t="shared" si="28"/>
        <v>-3.0661165817049004E-4</v>
      </c>
      <c r="G113" s="3"/>
      <c r="H113" s="7">
        <v>75</v>
      </c>
      <c r="I113" s="3"/>
      <c r="J113" s="8">
        <f t="shared" si="29"/>
        <v>2.5486104975567321E-4</v>
      </c>
      <c r="K113" s="3"/>
      <c r="L113" s="7">
        <f t="shared" si="30"/>
        <v>-317.89999999999998</v>
      </c>
      <c r="M113" s="3"/>
      <c r="N113" s="8">
        <f t="shared" si="31"/>
        <v>-4.2386666666666661</v>
      </c>
      <c r="O113" s="12"/>
      <c r="P113" s="7">
        <v>7229.1</v>
      </c>
      <c r="Q113" s="3"/>
      <c r="R113" s="8">
        <f t="shared" si="32"/>
        <v>1.6952046318887679E-3</v>
      </c>
      <c r="S113" s="3"/>
      <c r="T113" s="7">
        <v>750</v>
      </c>
      <c r="U113" s="3"/>
      <c r="V113" s="8">
        <f t="shared" si="33"/>
        <v>2.3714582666031328E-4</v>
      </c>
      <c r="W113" s="3"/>
      <c r="X113" s="7">
        <f t="shared" si="34"/>
        <v>6479.1</v>
      </c>
      <c r="Y113" s="3"/>
      <c r="Z113" s="8">
        <f t="shared" si="35"/>
        <v>8.6387999999999998</v>
      </c>
    </row>
    <row r="114" spans="1:26" s="69" customFormat="1" ht="15" customHeight="1" outlineLevel="1" collapsed="1" x14ac:dyDescent="0.3">
      <c r="A114" s="25"/>
      <c r="B114" s="14" t="str">
        <f>CONCATENATE("     ","Telephone/Data Lines                              ")</f>
        <v xml:space="preserve">     Telephone/Data Lines                              </v>
      </c>
      <c r="C114" s="14"/>
      <c r="D114" s="2">
        <f>SUM(OSRRefD22_19x_0)</f>
        <v>721.84</v>
      </c>
      <c r="E114" s="2"/>
      <c r="F114" s="6">
        <f t="shared" si="28"/>
        <v>9.1117562508763494E-4</v>
      </c>
      <c r="G114" s="2"/>
      <c r="H114" s="2">
        <f>SUM(OSRRefH22_19x_0)</f>
        <v>610</v>
      </c>
      <c r="I114" s="2"/>
      <c r="J114" s="6">
        <f t="shared" si="29"/>
        <v>2.0728698713461421E-3</v>
      </c>
      <c r="K114" s="2"/>
      <c r="L114" s="2">
        <f t="shared" si="30"/>
        <v>111.84000000000003</v>
      </c>
      <c r="M114" s="2"/>
      <c r="N114" s="6">
        <f t="shared" si="31"/>
        <v>0.18334426229508202</v>
      </c>
      <c r="O114" s="14"/>
      <c r="P114" s="2">
        <f>SUM(OSRRefP22_19x_0)</f>
        <v>5792.59</v>
      </c>
      <c r="Q114" s="2"/>
      <c r="R114" s="6">
        <f t="shared" si="32"/>
        <v>1.3583468756321754E-3</v>
      </c>
      <c r="S114" s="2"/>
      <c r="T114" s="2">
        <f>SUM(OSRRefT22_19x_0)</f>
        <v>6100</v>
      </c>
      <c r="U114" s="2"/>
      <c r="V114" s="6">
        <f t="shared" si="33"/>
        <v>1.9287860568372147E-3</v>
      </c>
      <c r="W114" s="2"/>
      <c r="X114" s="2">
        <f t="shared" si="34"/>
        <v>-307.40999999999985</v>
      </c>
      <c r="Y114" s="2"/>
      <c r="Z114" s="6">
        <f t="shared" si="35"/>
        <v>-5.0395081967213089E-2</v>
      </c>
    </row>
    <row r="115" spans="1:26" s="70" customFormat="1" ht="15" hidden="1" customHeight="1" outlineLevel="2" x14ac:dyDescent="0.3">
      <c r="A115" s="26"/>
      <c r="B115" s="12" t="str">
        <f>CONCATENATE("          ","6309"," - ","TELEPHONE")</f>
        <v xml:space="preserve">          6309 - TELEPHONE</v>
      </c>
      <c r="C115" s="12"/>
      <c r="D115" s="7">
        <v>721.84</v>
      </c>
      <c r="E115" s="3"/>
      <c r="F115" s="8">
        <f t="shared" si="28"/>
        <v>9.1117562508763494E-4</v>
      </c>
      <c r="G115" s="3"/>
      <c r="H115" s="7">
        <v>610</v>
      </c>
      <c r="I115" s="3"/>
      <c r="J115" s="8">
        <f t="shared" si="29"/>
        <v>2.0728698713461421E-3</v>
      </c>
      <c r="K115" s="3"/>
      <c r="L115" s="7">
        <f t="shared" si="30"/>
        <v>111.84000000000003</v>
      </c>
      <c r="M115" s="3"/>
      <c r="N115" s="8">
        <f t="shared" si="31"/>
        <v>0.18334426229508202</v>
      </c>
      <c r="O115" s="12"/>
      <c r="P115" s="7">
        <v>5792.59</v>
      </c>
      <c r="Q115" s="3"/>
      <c r="R115" s="8">
        <f t="shared" si="32"/>
        <v>1.3583468756321754E-3</v>
      </c>
      <c r="S115" s="3"/>
      <c r="T115" s="7">
        <v>6100</v>
      </c>
      <c r="U115" s="3"/>
      <c r="V115" s="8">
        <f t="shared" si="33"/>
        <v>1.9287860568372147E-3</v>
      </c>
      <c r="W115" s="3"/>
      <c r="X115" s="7">
        <f t="shared" si="34"/>
        <v>-307.40999999999985</v>
      </c>
      <c r="Y115" s="3"/>
      <c r="Z115" s="8">
        <f t="shared" si="35"/>
        <v>-5.0395081967213089E-2</v>
      </c>
    </row>
    <row r="116" spans="1:26" s="69" customFormat="1" ht="15" customHeight="1" outlineLevel="1" collapsed="1" x14ac:dyDescent="0.3">
      <c r="A116" s="25"/>
      <c r="B116" s="14" t="str">
        <f>CONCATENATE("     ","Training                                          ")</f>
        <v xml:space="preserve">     Training                                          </v>
      </c>
      <c r="C116" s="14"/>
      <c r="D116" s="2">
        <f>SUM(OSRRefD22_20x_0)</f>
        <v>0</v>
      </c>
      <c r="E116" s="2"/>
      <c r="F116" s="6">
        <f t="shared" si="28"/>
        <v>0</v>
      </c>
      <c r="G116" s="2"/>
      <c r="H116" s="2">
        <f>SUM(OSRRefH22_20x_0)</f>
        <v>0</v>
      </c>
      <c r="I116" s="2"/>
      <c r="J116" s="6">
        <f t="shared" si="29"/>
        <v>0</v>
      </c>
      <c r="K116" s="2"/>
      <c r="L116" s="2">
        <f t="shared" si="30"/>
        <v>0</v>
      </c>
      <c r="M116" s="2"/>
      <c r="N116" s="6">
        <f t="shared" si="31"/>
        <v>0</v>
      </c>
      <c r="O116" s="14"/>
      <c r="P116" s="2">
        <f>SUM(OSRRefP22_20x_0)</f>
        <v>300</v>
      </c>
      <c r="Q116" s="2"/>
      <c r="R116" s="6">
        <f t="shared" si="32"/>
        <v>7.0349198318826734E-5</v>
      </c>
      <c r="S116" s="2"/>
      <c r="T116" s="2">
        <f>SUM(OSRRefT22_20x_0)</f>
        <v>0</v>
      </c>
      <c r="U116" s="2"/>
      <c r="V116" s="6">
        <f t="shared" si="33"/>
        <v>0</v>
      </c>
      <c r="W116" s="2"/>
      <c r="X116" s="2">
        <f t="shared" si="34"/>
        <v>300</v>
      </c>
      <c r="Y116" s="2"/>
      <c r="Z116" s="6">
        <f t="shared" si="35"/>
        <v>0</v>
      </c>
    </row>
    <row r="117" spans="1:26" s="70" customFormat="1" ht="15" hidden="1" customHeight="1" outlineLevel="2" x14ac:dyDescent="0.3">
      <c r="A117" s="26"/>
      <c r="B117" s="12" t="str">
        <f>CONCATENATE("          ","6376"," - ","TRAINING")</f>
        <v xml:space="preserve">          6376 - TRAINING</v>
      </c>
      <c r="C117" s="12"/>
      <c r="D117" s="7"/>
      <c r="E117" s="3"/>
      <c r="F117" s="8">
        <f t="shared" si="28"/>
        <v>0</v>
      </c>
      <c r="G117" s="3"/>
      <c r="H117" s="7"/>
      <c r="I117" s="3"/>
      <c r="J117" s="8">
        <f t="shared" si="29"/>
        <v>0</v>
      </c>
      <c r="K117" s="3"/>
      <c r="L117" s="7">
        <f t="shared" si="30"/>
        <v>0</v>
      </c>
      <c r="M117" s="3"/>
      <c r="N117" s="8">
        <f t="shared" si="31"/>
        <v>0</v>
      </c>
      <c r="O117" s="12"/>
      <c r="P117" s="7">
        <v>300</v>
      </c>
      <c r="Q117" s="3"/>
      <c r="R117" s="8">
        <f t="shared" si="32"/>
        <v>7.0349198318826734E-5</v>
      </c>
      <c r="S117" s="3"/>
      <c r="T117" s="7"/>
      <c r="U117" s="3"/>
      <c r="V117" s="8">
        <f t="shared" si="33"/>
        <v>0</v>
      </c>
      <c r="W117" s="3"/>
      <c r="X117" s="7">
        <f t="shared" si="34"/>
        <v>300</v>
      </c>
      <c r="Y117" s="3"/>
      <c r="Z117" s="8">
        <f t="shared" si="35"/>
        <v>0</v>
      </c>
    </row>
    <row r="118" spans="1:26" s="69" customFormat="1" ht="15" customHeight="1" outlineLevel="1" collapsed="1" x14ac:dyDescent="0.3">
      <c r="A118" s="25"/>
      <c r="B118" s="14" t="str">
        <f>CONCATENATE("     ","Travel                                            ")</f>
        <v xml:space="preserve">     Travel                                            </v>
      </c>
      <c r="C118" s="14"/>
      <c r="D118" s="2">
        <f>SUM(OSRRefD22_21x_0)</f>
        <v>0</v>
      </c>
      <c r="E118" s="2"/>
      <c r="F118" s="6">
        <f t="shared" si="28"/>
        <v>0</v>
      </c>
      <c r="G118" s="2"/>
      <c r="H118" s="2">
        <f>SUM(OSRRefH22_21x_0)</f>
        <v>50</v>
      </c>
      <c r="I118" s="2"/>
      <c r="J118" s="6">
        <f t="shared" si="29"/>
        <v>1.6990736650378214E-4</v>
      </c>
      <c r="K118" s="2"/>
      <c r="L118" s="2">
        <f t="shared" si="30"/>
        <v>-50</v>
      </c>
      <c r="M118" s="2"/>
      <c r="N118" s="6">
        <f t="shared" si="31"/>
        <v>-1</v>
      </c>
      <c r="O118" s="14"/>
      <c r="P118" s="2">
        <f>SUM(OSRRefP22_21x_0)</f>
        <v>403.48</v>
      </c>
      <c r="Q118" s="2"/>
      <c r="R118" s="6">
        <f t="shared" si="32"/>
        <v>9.4614981792267371E-5</v>
      </c>
      <c r="S118" s="2"/>
      <c r="T118" s="2">
        <f>SUM(OSRRefT22_21x_0)</f>
        <v>750</v>
      </c>
      <c r="U118" s="2"/>
      <c r="V118" s="6">
        <f t="shared" si="33"/>
        <v>2.3714582666031328E-4</v>
      </c>
      <c r="W118" s="2"/>
      <c r="X118" s="2">
        <f t="shared" si="34"/>
        <v>-346.52</v>
      </c>
      <c r="Y118" s="2"/>
      <c r="Z118" s="6">
        <f t="shared" si="35"/>
        <v>-0.46202666666666664</v>
      </c>
    </row>
    <row r="119" spans="1:26" s="70" customFormat="1" ht="15" hidden="1" customHeight="1" outlineLevel="2" x14ac:dyDescent="0.3">
      <c r="A119" s="26"/>
      <c r="B119" s="12" t="str">
        <f>CONCATENATE("          ","6294"," - ","TRAVEL OPERATIONAL")</f>
        <v xml:space="preserve">          6294 - TRAVEL OPERATIONAL</v>
      </c>
      <c r="C119" s="12"/>
      <c r="D119" s="7"/>
      <c r="E119" s="3"/>
      <c r="F119" s="8">
        <f t="shared" si="28"/>
        <v>0</v>
      </c>
      <c r="G119" s="3"/>
      <c r="H119" s="7">
        <v>25</v>
      </c>
      <c r="I119" s="3"/>
      <c r="J119" s="8">
        <f t="shared" si="29"/>
        <v>8.4953683251891071E-5</v>
      </c>
      <c r="K119" s="3"/>
      <c r="L119" s="7">
        <f t="shared" si="30"/>
        <v>-25</v>
      </c>
      <c r="M119" s="3"/>
      <c r="N119" s="8">
        <f t="shared" si="31"/>
        <v>-1</v>
      </c>
      <c r="O119" s="12"/>
      <c r="P119" s="7">
        <v>403.48</v>
      </c>
      <c r="Q119" s="3"/>
      <c r="R119" s="8">
        <f t="shared" si="32"/>
        <v>9.4614981792267371E-5</v>
      </c>
      <c r="S119" s="3"/>
      <c r="T119" s="7">
        <v>250</v>
      </c>
      <c r="U119" s="3"/>
      <c r="V119" s="8">
        <f t="shared" si="33"/>
        <v>7.9048608886771087E-5</v>
      </c>
      <c r="W119" s="3"/>
      <c r="X119" s="7">
        <f t="shared" si="34"/>
        <v>153.48000000000002</v>
      </c>
      <c r="Y119" s="3"/>
      <c r="Z119" s="8">
        <f t="shared" si="35"/>
        <v>0.61392000000000002</v>
      </c>
    </row>
    <row r="120" spans="1:26" s="70" customFormat="1" ht="15" hidden="1" customHeight="1" outlineLevel="2" x14ac:dyDescent="0.3">
      <c r="A120" s="26"/>
      <c r="B120" s="12" t="str">
        <f>CONCATENATE("          ","6298"," - ","VEHICLE MILEAGE")</f>
        <v xml:space="preserve">          6298 - VEHICLE MILEAGE</v>
      </c>
      <c r="C120" s="12"/>
      <c r="D120" s="7"/>
      <c r="E120" s="3"/>
      <c r="F120" s="8">
        <f t="shared" si="28"/>
        <v>0</v>
      </c>
      <c r="G120" s="3"/>
      <c r="H120" s="7">
        <v>25</v>
      </c>
      <c r="I120" s="3"/>
      <c r="J120" s="8">
        <f t="shared" si="29"/>
        <v>8.4953683251891071E-5</v>
      </c>
      <c r="K120" s="3"/>
      <c r="L120" s="7">
        <f t="shared" si="30"/>
        <v>-25</v>
      </c>
      <c r="M120" s="3"/>
      <c r="N120" s="8">
        <f t="shared" si="31"/>
        <v>-1</v>
      </c>
      <c r="O120" s="12"/>
      <c r="P120" s="7"/>
      <c r="Q120" s="3"/>
      <c r="R120" s="8">
        <f t="shared" si="32"/>
        <v>0</v>
      </c>
      <c r="S120" s="3"/>
      <c r="T120" s="7">
        <v>500</v>
      </c>
      <c r="U120" s="3"/>
      <c r="V120" s="8">
        <f t="shared" si="33"/>
        <v>1.5809721777354217E-4</v>
      </c>
      <c r="W120" s="3"/>
      <c r="X120" s="7">
        <f t="shared" si="34"/>
        <v>-500</v>
      </c>
      <c r="Y120" s="3"/>
      <c r="Z120" s="8">
        <f t="shared" si="35"/>
        <v>-1</v>
      </c>
    </row>
    <row r="121" spans="1:26" s="69" customFormat="1" ht="15" customHeight="1" outlineLevel="1" collapsed="1" x14ac:dyDescent="0.3">
      <c r="A121" s="25"/>
      <c r="B121" s="14" t="str">
        <f>CONCATENATE("     ","Utilities                                         ")</f>
        <v xml:space="preserve">     Utilities                                         </v>
      </c>
      <c r="C121" s="14"/>
      <c r="D121" s="2">
        <f>SUM(OSRRefD22_22x_0)</f>
        <v>254.32</v>
      </c>
      <c r="E121" s="2"/>
      <c r="F121" s="6">
        <f t="shared" si="28"/>
        <v>3.2102707659909029E-4</v>
      </c>
      <c r="G121" s="2"/>
      <c r="H121" s="2">
        <f>SUM(OSRRefH22_22x_0)</f>
        <v>120</v>
      </c>
      <c r="I121" s="2"/>
      <c r="J121" s="6">
        <f t="shared" si="29"/>
        <v>4.0777767960907714E-4</v>
      </c>
      <c r="K121" s="2"/>
      <c r="L121" s="2">
        <f t="shared" si="30"/>
        <v>134.32</v>
      </c>
      <c r="M121" s="2"/>
      <c r="N121" s="6">
        <f t="shared" si="31"/>
        <v>1.1193333333333333</v>
      </c>
      <c r="O121" s="14"/>
      <c r="P121" s="2">
        <f>SUM(OSRRefP22_22x_0)</f>
        <v>1287.22</v>
      </c>
      <c r="Q121" s="2"/>
      <c r="R121" s="6">
        <f t="shared" si="32"/>
        <v>3.0184965019986718E-4</v>
      </c>
      <c r="S121" s="2"/>
      <c r="T121" s="2">
        <f>SUM(OSRRefT22_22x_0)</f>
        <v>3880</v>
      </c>
      <c r="U121" s="2"/>
      <c r="V121" s="6">
        <f t="shared" si="33"/>
        <v>1.2268344099226874E-3</v>
      </c>
      <c r="W121" s="2"/>
      <c r="X121" s="2">
        <f t="shared" si="34"/>
        <v>-2592.7799999999997</v>
      </c>
      <c r="Y121" s="2"/>
      <c r="Z121" s="6">
        <f t="shared" si="35"/>
        <v>-0.6682422680412371</v>
      </c>
    </row>
    <row r="122" spans="1:26" s="70" customFormat="1" ht="15" hidden="1" customHeight="1" outlineLevel="2" x14ac:dyDescent="0.3">
      <c r="A122" s="26"/>
      <c r="B122" s="12" t="str">
        <f>CONCATENATE("          ","6274"," - ","UTILITIES")</f>
        <v xml:space="preserve">          6274 - UTILITIES</v>
      </c>
      <c r="C122" s="12"/>
      <c r="D122" s="7">
        <v>254.32</v>
      </c>
      <c r="E122" s="3"/>
      <c r="F122" s="8">
        <f t="shared" si="28"/>
        <v>3.2102707659909029E-4</v>
      </c>
      <c r="G122" s="3"/>
      <c r="H122" s="7">
        <v>120</v>
      </c>
      <c r="I122" s="3"/>
      <c r="J122" s="8">
        <f t="shared" si="29"/>
        <v>4.0777767960907714E-4</v>
      </c>
      <c r="K122" s="3"/>
      <c r="L122" s="7">
        <f t="shared" si="30"/>
        <v>134.32</v>
      </c>
      <c r="M122" s="3"/>
      <c r="N122" s="8">
        <f t="shared" si="31"/>
        <v>1.1193333333333333</v>
      </c>
      <c r="O122" s="12"/>
      <c r="P122" s="7">
        <v>1287.22</v>
      </c>
      <c r="Q122" s="3"/>
      <c r="R122" s="8">
        <f t="shared" si="32"/>
        <v>3.0184965019986718E-4</v>
      </c>
      <c r="S122" s="3"/>
      <c r="T122" s="7">
        <v>3880</v>
      </c>
      <c r="U122" s="3"/>
      <c r="V122" s="8">
        <f t="shared" si="33"/>
        <v>1.2268344099226874E-3</v>
      </c>
      <c r="W122" s="3"/>
      <c r="X122" s="7">
        <f t="shared" si="34"/>
        <v>-2592.7799999999997</v>
      </c>
      <c r="Y122" s="3"/>
      <c r="Z122" s="8">
        <f t="shared" si="35"/>
        <v>-0.6682422680412371</v>
      </c>
    </row>
    <row r="123" spans="1:26" s="65" customFormat="1" ht="15" customHeight="1" x14ac:dyDescent="0.3">
      <c r="A123" s="35"/>
      <c r="B123" s="35"/>
      <c r="C123" s="35"/>
      <c r="D123" s="2"/>
      <c r="E123" s="2"/>
      <c r="F123" s="6"/>
      <c r="G123" s="2"/>
      <c r="H123" s="2"/>
      <c r="I123" s="2"/>
      <c r="J123" s="6"/>
      <c r="K123" s="2"/>
      <c r="L123" s="2"/>
      <c r="M123" s="2"/>
      <c r="N123" s="6"/>
      <c r="O123" s="35"/>
      <c r="P123" s="2"/>
      <c r="Q123" s="2"/>
      <c r="R123" s="6"/>
      <c r="S123" s="2"/>
      <c r="T123" s="2"/>
      <c r="U123" s="2"/>
      <c r="V123" s="6"/>
      <c r="W123" s="2"/>
      <c r="X123" s="2"/>
      <c r="Y123" s="2"/>
      <c r="Z123" s="6"/>
    </row>
    <row r="124" spans="1:26" s="63" customFormat="1" ht="15" customHeight="1" collapsed="1" x14ac:dyDescent="0.3">
      <c r="A124" s="11"/>
      <c r="B124" s="28" t="s">
        <v>291</v>
      </c>
      <c r="C124" s="11"/>
      <c r="D124" s="5">
        <f>SUM(OSRRefD25x_0)</f>
        <v>33877.660000000003</v>
      </c>
      <c r="E124" s="5"/>
      <c r="F124" s="13">
        <f>IF(D$12=0,0,D124/D$12)</f>
        <v>4.2763629096484498E-2</v>
      </c>
      <c r="G124" s="5"/>
      <c r="H124" s="5">
        <f>SUM(OSRRefH25x_0)</f>
        <v>29111</v>
      </c>
      <c r="I124" s="5"/>
      <c r="J124" s="13">
        <f>IF(H$12=0,0,H124/H$12)</f>
        <v>9.8923466925832038E-2</v>
      </c>
      <c r="K124" s="5"/>
      <c r="L124" s="5">
        <f>+D124-H124</f>
        <v>4766.6600000000035</v>
      </c>
      <c r="M124" s="5"/>
      <c r="N124" s="13">
        <f>IF(H124=0,0,L124/H124)</f>
        <v>0.1637408539727252</v>
      </c>
      <c r="O124" s="11"/>
      <c r="P124" s="5">
        <f>SUM(OSRRefP25x_0)</f>
        <v>367580.03</v>
      </c>
      <c r="Q124" s="5"/>
      <c r="R124" s="13">
        <f>IF(P$12=0,0,P124/P$12)</f>
        <v>8.6196534761700944E-2</v>
      </c>
      <c r="S124" s="5"/>
      <c r="T124" s="5">
        <f>SUM(OSRRefT25x_0)</f>
        <v>193672</v>
      </c>
      <c r="U124" s="5"/>
      <c r="V124" s="13">
        <f>IF(T$12=0,0,T124/T$12)</f>
        <v>6.1238008721274918E-2</v>
      </c>
      <c r="W124" s="5"/>
      <c r="X124" s="5">
        <f>+P124-T124</f>
        <v>173908.03000000003</v>
      </c>
      <c r="Y124" s="5"/>
      <c r="Z124" s="13">
        <f>IF(T124=0,0,X124/T124)</f>
        <v>0.89795133008385331</v>
      </c>
    </row>
    <row r="125" spans="1:26" s="70" customFormat="1" ht="15" hidden="1" customHeight="1" outlineLevel="1" x14ac:dyDescent="0.3">
      <c r="A125" s="42"/>
      <c r="B125" s="12" t="str">
        <f>CONCATENATE("          ","9150"," - ","MISC. INCOME")</f>
        <v xml:space="preserve">          9150 - MISC. INCOME</v>
      </c>
      <c r="C125" s="12"/>
      <c r="D125" s="3">
        <f>--31888.66</f>
        <v>31888.66</v>
      </c>
      <c r="E125" s="3"/>
      <c r="F125" s="20">
        <f>IF(D$12=0,0,D125/D$12)</f>
        <v>4.0252922681906049E-2</v>
      </c>
      <c r="G125" s="3"/>
      <c r="H125" s="3">
        <v>29111</v>
      </c>
      <c r="I125" s="3"/>
      <c r="J125" s="20">
        <f>IF(H$12=0,0,H125/H$12)</f>
        <v>9.8923466925832038E-2</v>
      </c>
      <c r="K125" s="3"/>
      <c r="L125" s="3">
        <f>+D125-H125</f>
        <v>2777.66</v>
      </c>
      <c r="M125" s="3"/>
      <c r="N125" s="20">
        <f>IF(H125=0,0,L125/H125)</f>
        <v>9.5416165710556139E-2</v>
      </c>
      <c r="O125" s="12"/>
      <c r="P125" s="3">
        <f>--110760.33</f>
        <v>110760.33</v>
      </c>
      <c r="Q125" s="3"/>
      <c r="R125" s="20">
        <f>IF(P$12=0,0,P125/P$12)</f>
        <v>2.5973001403428984E-2</v>
      </c>
      <c r="S125" s="3"/>
      <c r="T125" s="3">
        <v>77006</v>
      </c>
      <c r="U125" s="3"/>
      <c r="V125" s="20">
        <f>IF(T$12=0,0,T125/T$12)</f>
        <v>2.4348868703738778E-2</v>
      </c>
      <c r="W125" s="3"/>
      <c r="X125" s="3">
        <f>+P125-T125</f>
        <v>33754.33</v>
      </c>
      <c r="Y125" s="3"/>
      <c r="Z125" s="20">
        <f>IF(T125=0,0,X125/T125)</f>
        <v>0.43833376620003639</v>
      </c>
    </row>
    <row r="126" spans="1:26" s="70" customFormat="1" ht="15" hidden="1" customHeight="1" outlineLevel="1" x14ac:dyDescent="0.3">
      <c r="A126" s="42"/>
      <c r="B126" s="12" t="str">
        <f>CONCATENATE("          ","9160"," - ","MISC. INCOME")</f>
        <v xml:space="preserve">          9160 - MISC. INCOME</v>
      </c>
      <c r="C126" s="12"/>
      <c r="D126" s="3">
        <f>0</f>
        <v>0</v>
      </c>
      <c r="E126" s="3"/>
      <c r="F126" s="20">
        <f>IF(D$12=0,0,D126/D$12)</f>
        <v>0</v>
      </c>
      <c r="G126" s="3"/>
      <c r="H126" s="3">
        <v>0</v>
      </c>
      <c r="I126" s="3"/>
      <c r="J126" s="20">
        <f>IF(H$12=0,0,H126/H$12)</f>
        <v>0</v>
      </c>
      <c r="K126" s="3"/>
      <c r="L126" s="3">
        <f>+D126-H126</f>
        <v>0</v>
      </c>
      <c r="M126" s="3"/>
      <c r="N126" s="20">
        <f>IF(H126=0,0,L126/H126)</f>
        <v>0</v>
      </c>
      <c r="O126" s="12"/>
      <c r="P126" s="3">
        <f>0</f>
        <v>0</v>
      </c>
      <c r="Q126" s="3"/>
      <c r="R126" s="20">
        <f>IF(P$12=0,0,P126/P$12)</f>
        <v>0</v>
      </c>
      <c r="S126" s="3"/>
      <c r="T126" s="3">
        <v>116666</v>
      </c>
      <c r="U126" s="3"/>
      <c r="V126" s="20">
        <f>IF(T$12=0,0,T126/T$12)</f>
        <v>3.688914001753614E-2</v>
      </c>
      <c r="W126" s="3"/>
      <c r="X126" s="3">
        <f>+P126-T126</f>
        <v>-116666</v>
      </c>
      <c r="Y126" s="3"/>
      <c r="Z126" s="20">
        <f>IF(T126=0,0,X126/T126)</f>
        <v>-1</v>
      </c>
    </row>
    <row r="127" spans="1:26" s="70" customFormat="1" ht="15" hidden="1" customHeight="1" outlineLevel="1" x14ac:dyDescent="0.3">
      <c r="A127" s="42"/>
      <c r="B127" s="12" t="str">
        <f>CONCATENATE("          ","9163"," - ","MISC. INCOME")</f>
        <v xml:space="preserve">          9163 - MISC. INCOME</v>
      </c>
      <c r="C127" s="12"/>
      <c r="D127" s="3">
        <f>--1989</f>
        <v>1989</v>
      </c>
      <c r="E127" s="3"/>
      <c r="F127" s="20">
        <f>IF(D$12=0,0,D127/D$12)</f>
        <v>2.5107064145784468E-3</v>
      </c>
      <c r="G127" s="3"/>
      <c r="H127" s="3"/>
      <c r="I127" s="3"/>
      <c r="J127" s="20">
        <f>IF(H$12=0,0,H127/H$12)</f>
        <v>0</v>
      </c>
      <c r="K127" s="3"/>
      <c r="L127" s="3">
        <f>+D127-H127</f>
        <v>1989</v>
      </c>
      <c r="M127" s="3"/>
      <c r="N127" s="20">
        <f>IF(H127=0,0,L127/H127)</f>
        <v>0</v>
      </c>
      <c r="O127" s="12"/>
      <c r="P127" s="3">
        <f>--256819.7</f>
        <v>256819.7</v>
      </c>
      <c r="Q127" s="3"/>
      <c r="R127" s="20">
        <f>IF(P$12=0,0,P127/P$12)</f>
        <v>6.0223533358271956E-2</v>
      </c>
      <c r="S127" s="3"/>
      <c r="T127" s="3"/>
      <c r="U127" s="3"/>
      <c r="V127" s="20">
        <f>IF(T$12=0,0,T127/T$12)</f>
        <v>0</v>
      </c>
      <c r="W127" s="3"/>
      <c r="X127" s="3">
        <f>+P127-T127</f>
        <v>256819.7</v>
      </c>
      <c r="Y127" s="3"/>
      <c r="Z127" s="20">
        <f>IF(T127=0,0,X127/T127)</f>
        <v>0</v>
      </c>
    </row>
    <row r="128" spans="1:26" ht="15" customHeight="1" x14ac:dyDescent="0.3">
      <c r="A128" s="10"/>
      <c r="B128" s="11"/>
      <c r="C128" s="11"/>
      <c r="D128" s="4"/>
      <c r="E128" s="4"/>
      <c r="F128" s="9"/>
      <c r="G128" s="4"/>
      <c r="H128" s="4"/>
      <c r="I128" s="4"/>
      <c r="J128" s="9"/>
      <c r="K128" s="4"/>
      <c r="L128" s="4"/>
      <c r="M128" s="4"/>
      <c r="N128" s="9"/>
      <c r="O128" s="11"/>
      <c r="P128" s="4"/>
      <c r="Q128" s="4"/>
      <c r="R128" s="9"/>
      <c r="S128" s="4"/>
      <c r="T128" s="4"/>
      <c r="U128" s="4"/>
      <c r="V128" s="9"/>
      <c r="W128" s="4"/>
      <c r="X128" s="4"/>
      <c r="Y128" s="4"/>
      <c r="Z128" s="9"/>
    </row>
    <row r="129" spans="1:26" s="63" customFormat="1" ht="15" customHeight="1" x14ac:dyDescent="0.3">
      <c r="A129" s="11"/>
      <c r="B129" s="27" t="s">
        <v>292</v>
      </c>
      <c r="C129" s="27"/>
      <c r="D129" s="21">
        <f>+D42-D44+D124</f>
        <v>319226.89999999991</v>
      </c>
      <c r="E129" s="15"/>
      <c r="F129" s="23">
        <f>IF(D$12=0,0,D129/D$12)</f>
        <v>0.40295878609149927</v>
      </c>
      <c r="G129" s="15"/>
      <c r="H129" s="21">
        <f>+H42-H44+H124</f>
        <v>32062.060707634635</v>
      </c>
      <c r="I129" s="15"/>
      <c r="J129" s="23">
        <f>IF(H$12=0,0,H129/H$12)</f>
        <v>0.10895160599037181</v>
      </c>
      <c r="K129" s="17"/>
      <c r="L129" s="21">
        <f>+D129-H129</f>
        <v>287164.83929236524</v>
      </c>
      <c r="M129" s="17"/>
      <c r="N129" s="23">
        <f>IF(H129=0,0,L129/H129)</f>
        <v>8.9565309575995347</v>
      </c>
      <c r="O129" s="28"/>
      <c r="P129" s="21">
        <f>+P42-P44+P124</f>
        <v>1513645.3500000008</v>
      </c>
      <c r="Q129" s="15"/>
      <c r="R129" s="23">
        <f>IF(P$12=0,0,P129/P$12)</f>
        <v>0.35494578970506652</v>
      </c>
      <c r="S129" s="15"/>
      <c r="T129" s="21">
        <f>+T42-T44+T124</f>
        <v>513762.69606498419</v>
      </c>
      <c r="U129" s="15"/>
      <c r="V129" s="23">
        <f>IF(T$12=0,0,T129/T$12)</f>
        <v>0.16244890568741593</v>
      </c>
      <c r="W129" s="17"/>
      <c r="X129" s="21">
        <f>+P129-T129</f>
        <v>999882.6539350166</v>
      </c>
      <c r="Y129" s="17"/>
      <c r="Z129" s="23">
        <f>IF(T129=0,0,X129/T129)</f>
        <v>1.946195513207414</v>
      </c>
    </row>
    <row r="130" spans="1:26" ht="15" customHeight="1" x14ac:dyDescent="0.3">
      <c r="A130" s="10"/>
      <c r="B130" s="11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3">
      <c r="A131" s="49"/>
      <c r="B131" s="11" t="s">
        <v>293</v>
      </c>
      <c r="C131" s="11"/>
      <c r="D131" s="5">
        <v>68689.850000000006</v>
      </c>
      <c r="E131" s="5"/>
      <c r="F131" s="13">
        <f>IF(D$12=0,0,D131/D$12)</f>
        <v>8.6706911519070548E-2</v>
      </c>
      <c r="G131" s="5"/>
      <c r="H131" s="5">
        <v>39737</v>
      </c>
      <c r="I131" s="5"/>
      <c r="J131" s="13">
        <f>IF(H$12=0,0,H131/H$12)</f>
        <v>0.13503218045521581</v>
      </c>
      <c r="K131" s="5"/>
      <c r="L131" s="5">
        <f>+D131-H131</f>
        <v>28952.850000000006</v>
      </c>
      <c r="M131" s="5"/>
      <c r="N131" s="13">
        <f>IF(H131=0,0,L131/H131)</f>
        <v>0.7286118730654052</v>
      </c>
      <c r="O131" s="11"/>
      <c r="P131" s="5">
        <v>483092.41</v>
      </c>
      <c r="Q131" s="5"/>
      <c r="R131" s="13">
        <f>IF(P$12=0,0,P131/P$12)</f>
        <v>0.11328387919136651</v>
      </c>
      <c r="S131" s="5"/>
      <c r="T131" s="5">
        <v>389048</v>
      </c>
      <c r="U131" s="5"/>
      <c r="V131" s="13">
        <f>IF(T$12=0,0,T131/T$12)</f>
        <v>0.12301481276072207</v>
      </c>
      <c r="W131" s="5"/>
      <c r="X131" s="5">
        <f>+P131-T131</f>
        <v>94044.409999999974</v>
      </c>
      <c r="Y131" s="5"/>
      <c r="Z131" s="13">
        <f>IF(T131=0,0,X131/T131)</f>
        <v>0.2417295809257469</v>
      </c>
    </row>
    <row r="132" spans="1:26" ht="15" customHeight="1" x14ac:dyDescent="0.3">
      <c r="A132" s="10"/>
      <c r="B132" s="11"/>
      <c r="C132" s="11"/>
      <c r="D132" s="4"/>
      <c r="E132" s="4"/>
      <c r="F132" s="9"/>
      <c r="G132" s="4"/>
      <c r="H132" s="4"/>
      <c r="I132" s="4"/>
      <c r="J132" s="9"/>
      <c r="K132" s="4"/>
      <c r="L132" s="4"/>
      <c r="M132" s="4"/>
      <c r="N132" s="9"/>
      <c r="O132" s="11"/>
      <c r="P132" s="4"/>
      <c r="Q132" s="4"/>
      <c r="R132" s="9"/>
      <c r="S132" s="4"/>
      <c r="T132" s="4"/>
      <c r="U132" s="4"/>
      <c r="V132" s="9"/>
      <c r="W132" s="4"/>
      <c r="X132" s="4"/>
      <c r="Y132" s="4"/>
      <c r="Z132" s="9"/>
    </row>
    <row r="133" spans="1:26" s="63" customFormat="1" ht="15" customHeight="1" x14ac:dyDescent="0.3">
      <c r="A133" s="11"/>
      <c r="B133" s="27" t="s">
        <v>294</v>
      </c>
      <c r="C133" s="27"/>
      <c r="D133" s="29">
        <f>+D129-D131</f>
        <v>250537.0499999999</v>
      </c>
      <c r="E133" s="15"/>
      <c r="F133" s="30">
        <f>IF(D$12=0,0,D133/D$12)</f>
        <v>0.31625187457242876</v>
      </c>
      <c r="G133" s="15"/>
      <c r="H133" s="29">
        <f>+H129-H131</f>
        <v>-7674.939292365365</v>
      </c>
      <c r="I133" s="15"/>
      <c r="J133" s="30">
        <f>IF(H$12=0,0,H133/H$12)</f>
        <v>-2.6080574464844009E-2</v>
      </c>
      <c r="K133" s="17"/>
      <c r="L133" s="29">
        <f>D133-H133</f>
        <v>258211.98929236527</v>
      </c>
      <c r="M133" s="17"/>
      <c r="N133" s="30">
        <f>IF(H133=0,0,L133/H133)</f>
        <v>-33.643522047037074</v>
      </c>
      <c r="O133" s="28"/>
      <c r="P133" s="29">
        <f>+P129-P131</f>
        <v>1030552.9400000009</v>
      </c>
      <c r="Q133" s="15"/>
      <c r="R133" s="30">
        <f>IF(P$12=0,0,P133/P$12)</f>
        <v>0.24166191051370003</v>
      </c>
      <c r="S133" s="15"/>
      <c r="T133" s="29">
        <f>+T129-T131</f>
        <v>124714.69606498419</v>
      </c>
      <c r="U133" s="15"/>
      <c r="V133" s="30">
        <f>IF(T$12=0,0,T133/T$12)</f>
        <v>3.9434092926693858E-2</v>
      </c>
      <c r="W133" s="17"/>
      <c r="X133" s="29">
        <f>P133-T133</f>
        <v>905838.24393501668</v>
      </c>
      <c r="Y133" s="17"/>
      <c r="Z133" s="30">
        <f>IF(T133=0,0,X133/T133)</f>
        <v>7.2632838993009941</v>
      </c>
    </row>
    <row r="134" spans="1:26" ht="15" customHeight="1" x14ac:dyDescent="0.3">
      <c r="A134" s="10"/>
      <c r="B134" s="10"/>
      <c r="C134" s="10"/>
      <c r="D134" s="4"/>
      <c r="E134" s="4"/>
      <c r="F134" s="9"/>
      <c r="G134" s="4"/>
      <c r="H134" s="4"/>
      <c r="I134" s="4"/>
      <c r="J134" s="9"/>
      <c r="K134" s="4"/>
      <c r="L134" s="4"/>
      <c r="M134" s="4"/>
      <c r="N134" s="9"/>
      <c r="P134" s="4"/>
      <c r="Q134" s="4"/>
      <c r="R134" s="9"/>
      <c r="S134" s="4"/>
      <c r="T134" s="4"/>
      <c r="U134" s="4"/>
      <c r="V134" s="9"/>
      <c r="W134" s="4"/>
      <c r="X134" s="4"/>
      <c r="Y134" s="4"/>
      <c r="Z134" s="9"/>
    </row>
    <row r="135" spans="1:26" ht="15" customHeight="1" x14ac:dyDescent="0.3">
      <c r="A135" s="10"/>
      <c r="B135" s="10"/>
      <c r="C135" s="10"/>
      <c r="D135" s="4"/>
      <c r="E135" s="4"/>
      <c r="F135" s="9"/>
      <c r="G135" s="4"/>
      <c r="H135" s="4"/>
      <c r="I135" s="4"/>
      <c r="J135" s="9"/>
      <c r="K135" s="4"/>
      <c r="L135" s="4"/>
      <c r="M135" s="4"/>
      <c r="N135" s="9"/>
      <c r="P135" s="4"/>
      <c r="Q135" s="4"/>
      <c r="R135" s="9"/>
      <c r="S135" s="4"/>
      <c r="T135" s="4"/>
      <c r="U135" s="4"/>
      <c r="V135" s="9"/>
      <c r="W135" s="4"/>
      <c r="X135" s="4"/>
      <c r="Y135" s="4"/>
      <c r="Z135" s="9"/>
    </row>
    <row r="136" spans="1:26" s="63" customFormat="1" ht="15" customHeight="1" x14ac:dyDescent="0.3">
      <c r="A136" s="11"/>
      <c r="B136" s="27" t="s">
        <v>297</v>
      </c>
      <c r="C136" s="27"/>
      <c r="D136" s="32">
        <f>SUM(D133:D135)</f>
        <v>250537.0499999999</v>
      </c>
      <c r="E136" s="15"/>
      <c r="F136" s="34">
        <f>IF(D$12=0,0,D136/D$12)</f>
        <v>0.31625187457242876</v>
      </c>
      <c r="G136" s="15"/>
      <c r="H136" s="32">
        <f>SUM(H133:H135)</f>
        <v>-7674.939292365365</v>
      </c>
      <c r="I136" s="15"/>
      <c r="J136" s="34">
        <f>IF(H$12=0,0,H136/H$12)</f>
        <v>-2.6080574464844009E-2</v>
      </c>
      <c r="K136" s="17"/>
      <c r="L136" s="32">
        <f>+D136-H136</f>
        <v>258211.98929236527</v>
      </c>
      <c r="M136" s="17"/>
      <c r="N136" s="34">
        <f>IF(H136=0,0,L136/H136)</f>
        <v>-33.643522047037074</v>
      </c>
      <c r="O136" s="28"/>
      <c r="P136" s="32">
        <f>SUM(P133:P135)</f>
        <v>1030552.9400000009</v>
      </c>
      <c r="Q136" s="15"/>
      <c r="R136" s="34">
        <f>IF(P$12=0,0,P136/P$12)</f>
        <v>0.24166191051370003</v>
      </c>
      <c r="S136" s="15"/>
      <c r="T136" s="32">
        <f>SUM(T133:T135)</f>
        <v>124714.69606498419</v>
      </c>
      <c r="U136" s="15"/>
      <c r="V136" s="34">
        <f>IF(T$12=0,0,T136/T$12)</f>
        <v>3.9434092926693858E-2</v>
      </c>
      <c r="W136" s="17"/>
      <c r="X136" s="32">
        <f>+P136-T136</f>
        <v>905838.24393501668</v>
      </c>
      <c r="Y136" s="17"/>
      <c r="Z136" s="34">
        <f>IF(T136=0,0,X136/T136)</f>
        <v>7.2632838993009941</v>
      </c>
    </row>
    <row r="137" spans="1:26" ht="15" customHeight="1" x14ac:dyDescent="0.3">
      <c r="A137" s="10"/>
      <c r="C137" s="10"/>
      <c r="D137" s="19"/>
      <c r="E137" s="19"/>
      <c r="G137" s="19"/>
      <c r="H137" s="19"/>
      <c r="I137" s="19"/>
      <c r="J137" s="40"/>
      <c r="K137" s="19"/>
      <c r="L137" s="19"/>
      <c r="M137" s="19"/>
      <c r="P137" s="19"/>
      <c r="Q137" s="19"/>
      <c r="R137" s="40"/>
      <c r="S137" s="19"/>
      <c r="T137" s="19"/>
      <c r="U137" s="19"/>
      <c r="V137" s="40"/>
      <c r="W137" s="19"/>
      <c r="X137" s="19"/>
    </row>
    <row r="138" spans="1:26" ht="15" customHeight="1" x14ac:dyDescent="0.3">
      <c r="A138" s="10"/>
      <c r="B138" s="56">
        <v>44694.888515162034</v>
      </c>
      <c r="D138" s="19"/>
      <c r="E138" s="19"/>
      <c r="G138" s="19"/>
      <c r="H138" s="19"/>
      <c r="I138" s="19"/>
      <c r="J138" s="40"/>
      <c r="K138" s="19"/>
      <c r="L138" s="19"/>
      <c r="M138" s="19"/>
      <c r="P138" s="19"/>
      <c r="Q138" s="19"/>
      <c r="R138" s="40"/>
      <c r="S138" s="19"/>
      <c r="T138" s="19"/>
      <c r="U138" s="19"/>
      <c r="V138" s="40"/>
      <c r="W138" s="19"/>
      <c r="X138" s="19"/>
    </row>
    <row r="139" spans="1:26" ht="15" customHeight="1" x14ac:dyDescent="0.3">
      <c r="A139" s="10"/>
      <c r="B139" s="50" t="s">
        <v>298</v>
      </c>
      <c r="D139" s="19"/>
      <c r="E139" s="19"/>
      <c r="G139" s="19"/>
      <c r="H139" s="19"/>
      <c r="I139" s="19"/>
      <c r="J139" s="40"/>
      <c r="K139" s="19"/>
      <c r="L139" s="19"/>
      <c r="M139" s="19"/>
      <c r="P139" s="19"/>
      <c r="Q139" s="19"/>
      <c r="R139" s="40"/>
      <c r="S139" s="19"/>
      <c r="T139" s="19"/>
      <c r="U139" s="19"/>
      <c r="V139" s="40"/>
      <c r="W139" s="19"/>
      <c r="X139" s="19"/>
    </row>
    <row r="140" spans="1:26" ht="15" customHeight="1" x14ac:dyDescent="0.3">
      <c r="A140" s="10"/>
      <c r="B140" s="51"/>
      <c r="D140" s="19"/>
      <c r="E140" s="19"/>
      <c r="G140" s="19"/>
      <c r="H140" s="19"/>
      <c r="I140" s="19"/>
      <c r="J140" s="40"/>
      <c r="K140" s="19"/>
      <c r="L140" s="19"/>
      <c r="M140" s="19"/>
      <c r="P140" s="19"/>
      <c r="Q140" s="19"/>
      <c r="R140" s="40"/>
      <c r="S140" s="19"/>
      <c r="T140" s="19"/>
      <c r="U140" s="19"/>
      <c r="V140" s="40"/>
      <c r="W140" s="19"/>
      <c r="X140" s="19"/>
    </row>
    <row r="141" spans="1:26" ht="15" customHeight="1" x14ac:dyDescent="0.3">
      <c r="D141" s="19"/>
      <c r="E141" s="19"/>
      <c r="G141" s="19"/>
      <c r="H141" s="19"/>
      <c r="I141" s="19"/>
      <c r="J141" s="40"/>
      <c r="K141" s="19"/>
      <c r="L141" s="19"/>
      <c r="M141" s="19"/>
      <c r="P141" s="19"/>
      <c r="Q141" s="19"/>
      <c r="R141" s="40"/>
      <c r="S141" s="19"/>
      <c r="T141" s="19"/>
      <c r="U141" s="19"/>
      <c r="V141" s="40"/>
      <c r="W141" s="19"/>
      <c r="X1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2984B-E3A1-A12D-F616-D26FCE28B9F5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","307"," - ","Art Store")</f>
        <v>Department 307 - Art Store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40501.600000000006</v>
      </c>
      <c r="E12" s="5"/>
      <c r="F12" s="13"/>
      <c r="G12" s="5"/>
      <c r="H12" s="5">
        <f>SUM(OSRRefH13x_0)</f>
        <v>38546</v>
      </c>
      <c r="I12" s="5"/>
      <c r="J12" s="13"/>
      <c r="K12" s="5"/>
      <c r="L12" s="5">
        <f>+D12-H12</f>
        <v>1955.6000000000058</v>
      </c>
      <c r="M12" s="5"/>
      <c r="N12" s="13">
        <f>IF(H12=0,0,L12/H12)</f>
        <v>5.0734187723758775E-2</v>
      </c>
      <c r="O12" s="11"/>
      <c r="P12" s="5">
        <f>SUM(OSRRefP13x_0)</f>
        <v>226699.84999999998</v>
      </c>
      <c r="Q12" s="5"/>
      <c r="R12" s="13"/>
      <c r="S12" s="5"/>
      <c r="T12" s="5">
        <f>SUM(OSRRefT13x_0)</f>
        <v>463194</v>
      </c>
      <c r="U12" s="5"/>
      <c r="V12" s="13"/>
      <c r="W12" s="5"/>
      <c r="X12" s="5">
        <f>+P12-T12</f>
        <v>-236494.15000000002</v>
      </c>
      <c r="Y12" s="5"/>
      <c r="Z12" s="13">
        <f>IF(T12=0,0,X12/T12)</f>
        <v>-0.51057256786573235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--21337.1</f>
        <v>21337.1</v>
      </c>
      <c r="E13" s="3"/>
      <c r="F13" s="20"/>
      <c r="G13" s="3"/>
      <c r="H13" s="3">
        <v>18353</v>
      </c>
      <c r="I13" s="3"/>
      <c r="J13" s="20"/>
      <c r="K13" s="3"/>
      <c r="L13" s="3">
        <f>+D13-H13</f>
        <v>2984.0999999999985</v>
      </c>
      <c r="M13" s="3"/>
      <c r="N13" s="20">
        <f>IF(H13=0,0,L13/H13)</f>
        <v>0.16259467117092566</v>
      </c>
      <c r="O13" s="12"/>
      <c r="P13" s="3">
        <f>--150812.9</f>
        <v>150812.9</v>
      </c>
      <c r="Q13" s="3"/>
      <c r="R13" s="20"/>
      <c r="S13" s="3"/>
      <c r="T13" s="3">
        <v>301255</v>
      </c>
      <c r="U13" s="3"/>
      <c r="V13" s="20"/>
      <c r="W13" s="3"/>
      <c r="X13" s="3">
        <f>+P13-T13</f>
        <v>-150442.1</v>
      </c>
      <c r="Y13" s="3"/>
      <c r="Z13" s="20">
        <f>IF(T13=0,0,X13/T13)</f>
        <v>-0.49938457452988333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--19511.33</f>
        <v>19511.330000000002</v>
      </c>
      <c r="E14" s="3"/>
      <c r="F14" s="20"/>
      <c r="G14" s="3"/>
      <c r="H14" s="3">
        <v>20193</v>
      </c>
      <c r="I14" s="3"/>
      <c r="J14" s="20"/>
      <c r="K14" s="3"/>
      <c r="L14" s="3">
        <f>+D14-H14</f>
        <v>-681.66999999999825</v>
      </c>
      <c r="M14" s="3"/>
      <c r="N14" s="20">
        <f>IF(H14=0,0,L14/H14)</f>
        <v>-3.375773782994098E-2</v>
      </c>
      <c r="O14" s="12"/>
      <c r="P14" s="3">
        <f>--80245.26</f>
        <v>80245.259999999995</v>
      </c>
      <c r="Q14" s="3"/>
      <c r="R14" s="20"/>
      <c r="S14" s="3"/>
      <c r="T14" s="3">
        <v>161939</v>
      </c>
      <c r="U14" s="3"/>
      <c r="V14" s="20"/>
      <c r="W14" s="3"/>
      <c r="X14" s="3">
        <f>+P14-T14</f>
        <v>-81693.740000000005</v>
      </c>
      <c r="Y14" s="3"/>
      <c r="Z14" s="20">
        <f>IF(T14=0,0,X14/T14)</f>
        <v>-0.50447230129863718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-176.49</f>
        <v>-176.49</v>
      </c>
      <c r="E15" s="3"/>
      <c r="F15" s="20"/>
      <c r="G15" s="3"/>
      <c r="H15" s="3"/>
      <c r="I15" s="3"/>
      <c r="J15" s="20"/>
      <c r="K15" s="3"/>
      <c r="L15" s="3">
        <f>+D15-H15</f>
        <v>-176.49</v>
      </c>
      <c r="M15" s="3"/>
      <c r="N15" s="20">
        <f>IF(H15=0,0,L15/H15)</f>
        <v>0</v>
      </c>
      <c r="O15" s="12"/>
      <c r="P15" s="3">
        <f>-2178.33</f>
        <v>-2178.33</v>
      </c>
      <c r="Q15" s="3"/>
      <c r="R15" s="20"/>
      <c r="S15" s="3"/>
      <c r="T15" s="3"/>
      <c r="U15" s="3"/>
      <c r="V15" s="20"/>
      <c r="W15" s="3"/>
      <c r="X15" s="3">
        <f>+P15-T15</f>
        <v>-2178.33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","4500"," - ","SALES DISCOUNT")</f>
        <v xml:space="preserve">          4500 - SALES DISCOUNT</v>
      </c>
      <c r="C16" s="12"/>
      <c r="D16" s="3">
        <f>-170.34</f>
        <v>-170.34</v>
      </c>
      <c r="E16" s="3"/>
      <c r="F16" s="20"/>
      <c r="G16" s="3"/>
      <c r="H16" s="3"/>
      <c r="I16" s="3"/>
      <c r="J16" s="20"/>
      <c r="K16" s="3"/>
      <c r="L16" s="3">
        <f>+D16-H16</f>
        <v>-170.34</v>
      </c>
      <c r="M16" s="3"/>
      <c r="N16" s="20">
        <f>IF(H16=0,0,L16/H16)</f>
        <v>0</v>
      </c>
      <c r="O16" s="12"/>
      <c r="P16" s="3">
        <f>-2179.98</f>
        <v>-2179.98</v>
      </c>
      <c r="Q16" s="3"/>
      <c r="R16" s="20"/>
      <c r="S16" s="3"/>
      <c r="T16" s="3"/>
      <c r="U16" s="3"/>
      <c r="V16" s="20"/>
      <c r="W16" s="3"/>
      <c r="X16" s="3">
        <f>+P16-T16</f>
        <v>-2179.98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21695.61</v>
      </c>
      <c r="E18" s="5"/>
      <c r="F18" s="13">
        <f t="shared" ref="F18:F28" si="0">IF(D$12=0,0,D18/D$12)</f>
        <v>0.53567291168743947</v>
      </c>
      <c r="G18" s="5"/>
      <c r="H18" s="5">
        <f>SUM(OSRRefH16x_0)</f>
        <v>19985</v>
      </c>
      <c r="I18" s="5"/>
      <c r="J18" s="13">
        <f t="shared" ref="J18:J28" si="1">IF(H$12=0,0,H18/H$12)</f>
        <v>0.518471436724952</v>
      </c>
      <c r="K18" s="5"/>
      <c r="L18" s="5">
        <f t="shared" ref="L18:L28" si="2">+D18-H18</f>
        <v>1710.6100000000006</v>
      </c>
      <c r="M18" s="5"/>
      <c r="N18" s="13">
        <f t="shared" ref="N18:N28" si="3">IF(H18=0,0,L18/H18)</f>
        <v>8.5594696022016539E-2</v>
      </c>
      <c r="O18" s="11"/>
      <c r="P18" s="5">
        <f>SUM(OSRRefP16x_0)</f>
        <v>126272.61000000002</v>
      </c>
      <c r="Q18" s="5"/>
      <c r="R18" s="13">
        <f t="shared" ref="R18:R28" si="4">IF(P$12=0,0,P18/P$12)</f>
        <v>0.55700350044342783</v>
      </c>
      <c r="S18" s="5"/>
      <c r="T18" s="5">
        <f>SUM(OSRRefT16x_0)</f>
        <v>258474</v>
      </c>
      <c r="U18" s="5"/>
      <c r="V18" s="13">
        <f t="shared" ref="V18:V28" si="5">IF(T$12=0,0,T18/T$12)</f>
        <v>0.55802536302283712</v>
      </c>
      <c r="W18" s="5"/>
      <c r="X18" s="5">
        <f t="shared" ref="X18:X28" si="6">+P18-T18</f>
        <v>-132201.38999999998</v>
      </c>
      <c r="Y18" s="5"/>
      <c r="Z18" s="13">
        <f t="shared" ref="Z18:Z28" si="7">IF(T18=0,0,X18/T18)</f>
        <v>-0.51146881311079639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18186.14</v>
      </c>
      <c r="E19" s="3"/>
      <c r="F19" s="20">
        <f t="shared" si="0"/>
        <v>0.44902275465660607</v>
      </c>
      <c r="G19" s="3"/>
      <c r="H19" s="3">
        <v>19985</v>
      </c>
      <c r="I19" s="3"/>
      <c r="J19" s="20">
        <f t="shared" si="1"/>
        <v>0.518471436724952</v>
      </c>
      <c r="K19" s="3"/>
      <c r="L19" s="3">
        <f t="shared" si="2"/>
        <v>-1798.8600000000006</v>
      </c>
      <c r="M19" s="3"/>
      <c r="N19" s="20">
        <f t="shared" si="3"/>
        <v>-9.0010507880910709E-2</v>
      </c>
      <c r="O19" s="12"/>
      <c r="P19" s="3">
        <v>148195.63</v>
      </c>
      <c r="Q19" s="3"/>
      <c r="R19" s="20">
        <f t="shared" si="4"/>
        <v>0.65370854899109998</v>
      </c>
      <c r="S19" s="3"/>
      <c r="T19" s="3">
        <v>258474</v>
      </c>
      <c r="U19" s="3"/>
      <c r="V19" s="20">
        <f t="shared" si="5"/>
        <v>0.55802536302283712</v>
      </c>
      <c r="W19" s="3"/>
      <c r="X19" s="3">
        <f t="shared" si="6"/>
        <v>-110278.37</v>
      </c>
      <c r="Y19" s="3"/>
      <c r="Z19" s="20">
        <f t="shared" si="7"/>
        <v>-0.42665169417426896</v>
      </c>
    </row>
    <row r="20" spans="1:26" s="70" customFormat="1" ht="15" hidden="1" customHeight="1" outlineLevel="1" x14ac:dyDescent="0.3">
      <c r="A20" s="42"/>
      <c r="B20" s="12" t="str">
        <f>CONCATENATE("          ","5026"," - ","PURCHASES @ COST-WRITING INSTR")</f>
        <v xml:space="preserve">          5026 - PURCHASES @ COST-WRITING INSTR</v>
      </c>
      <c r="C20" s="12"/>
      <c r="D20" s="3"/>
      <c r="E20" s="3"/>
      <c r="F20" s="20">
        <f t="shared" si="0"/>
        <v>0</v>
      </c>
      <c r="G20" s="3"/>
      <c r="H20" s="3"/>
      <c r="I20" s="3"/>
      <c r="J20" s="20">
        <f t="shared" si="1"/>
        <v>0</v>
      </c>
      <c r="K20" s="3"/>
      <c r="L20" s="3">
        <f t="shared" si="2"/>
        <v>0</v>
      </c>
      <c r="M20" s="3"/>
      <c r="N20" s="20">
        <f t="shared" si="3"/>
        <v>0</v>
      </c>
      <c r="O20" s="12"/>
      <c r="P20" s="3">
        <v>0</v>
      </c>
      <c r="Q20" s="3"/>
      <c r="R20" s="20">
        <f t="shared" si="4"/>
        <v>0</v>
      </c>
      <c r="S20" s="3"/>
      <c r="T20" s="3"/>
      <c r="U20" s="3"/>
      <c r="V20" s="20">
        <f t="shared" si="5"/>
        <v>0</v>
      </c>
      <c r="W20" s="3"/>
      <c r="X20" s="3">
        <f t="shared" si="6"/>
        <v>0</v>
      </c>
      <c r="Y20" s="3"/>
      <c r="Z20" s="20">
        <f t="shared" si="7"/>
        <v>0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0"/>
        <v>0</v>
      </c>
      <c r="G21" s="3"/>
      <c r="H21" s="3"/>
      <c r="I21" s="3"/>
      <c r="J21" s="20">
        <f t="shared" si="1"/>
        <v>0</v>
      </c>
      <c r="K21" s="3"/>
      <c r="L21" s="3">
        <f t="shared" si="2"/>
        <v>0</v>
      </c>
      <c r="M21" s="3"/>
      <c r="N21" s="20">
        <f t="shared" si="3"/>
        <v>0</v>
      </c>
      <c r="O21" s="12"/>
      <c r="P21" s="3">
        <v>0</v>
      </c>
      <c r="Q21" s="3"/>
      <c r="R21" s="20">
        <f t="shared" si="4"/>
        <v>0</v>
      </c>
      <c r="S21" s="3"/>
      <c r="T21" s="3"/>
      <c r="U21" s="3"/>
      <c r="V21" s="20">
        <f t="shared" si="5"/>
        <v>0</v>
      </c>
      <c r="W21" s="3"/>
      <c r="X21" s="3">
        <f t="shared" si="6"/>
        <v>0</v>
      </c>
      <c r="Y21" s="3"/>
      <c r="Z21" s="20">
        <f t="shared" si="7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0"/>
        <v>0</v>
      </c>
      <c r="G22" s="3"/>
      <c r="H22" s="3"/>
      <c r="I22" s="3"/>
      <c r="J22" s="20">
        <f t="shared" si="1"/>
        <v>0</v>
      </c>
      <c r="K22" s="3"/>
      <c r="L22" s="3">
        <f t="shared" si="2"/>
        <v>0</v>
      </c>
      <c r="M22" s="3"/>
      <c r="N22" s="20">
        <f t="shared" si="3"/>
        <v>0</v>
      </c>
      <c r="O22" s="12"/>
      <c r="P22" s="3">
        <v>0</v>
      </c>
      <c r="Q22" s="3"/>
      <c r="R22" s="20">
        <f t="shared" si="4"/>
        <v>0</v>
      </c>
      <c r="S22" s="3"/>
      <c r="T22" s="3"/>
      <c r="U22" s="3"/>
      <c r="V22" s="20">
        <f t="shared" si="5"/>
        <v>0</v>
      </c>
      <c r="W22" s="3"/>
      <c r="X22" s="3">
        <f t="shared" si="6"/>
        <v>0</v>
      </c>
      <c r="Y22" s="3"/>
      <c r="Z22" s="20">
        <f t="shared" si="7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0"/>
        <v>0</v>
      </c>
      <c r="G23" s="3"/>
      <c r="H23" s="3"/>
      <c r="I23" s="3"/>
      <c r="J23" s="20">
        <f t="shared" si="1"/>
        <v>0</v>
      </c>
      <c r="K23" s="3"/>
      <c r="L23" s="3">
        <f t="shared" si="2"/>
        <v>0</v>
      </c>
      <c r="M23" s="3"/>
      <c r="N23" s="20">
        <f t="shared" si="3"/>
        <v>0</v>
      </c>
      <c r="O23" s="12"/>
      <c r="P23" s="3">
        <v>0</v>
      </c>
      <c r="Q23" s="3"/>
      <c r="R23" s="20">
        <f t="shared" si="4"/>
        <v>0</v>
      </c>
      <c r="S23" s="3"/>
      <c r="T23" s="3"/>
      <c r="U23" s="3"/>
      <c r="V23" s="20">
        <f t="shared" si="5"/>
        <v>0</v>
      </c>
      <c r="W23" s="3"/>
      <c r="X23" s="3">
        <f t="shared" si="6"/>
        <v>0</v>
      </c>
      <c r="Y23" s="3"/>
      <c r="Z23" s="20">
        <f t="shared" si="7"/>
        <v>0</v>
      </c>
    </row>
    <row r="24" spans="1:26" s="70" customFormat="1" ht="15" hidden="1" customHeight="1" outlineLevel="1" x14ac:dyDescent="0.3">
      <c r="A24" s="42"/>
      <c r="B24" s="12" t="str">
        <f>CONCATENATE("          ","5042"," - ","PURCHASES @ COST-EVERYDAY GIFT")</f>
        <v xml:space="preserve">          5042 - PURCHASES @ COST-EVERYDAY GIFT</v>
      </c>
      <c r="C24" s="12"/>
      <c r="D24" s="3"/>
      <c r="E24" s="3"/>
      <c r="F24" s="20">
        <f t="shared" si="0"/>
        <v>0</v>
      </c>
      <c r="G24" s="3"/>
      <c r="H24" s="3"/>
      <c r="I24" s="3"/>
      <c r="J24" s="20">
        <f t="shared" si="1"/>
        <v>0</v>
      </c>
      <c r="K24" s="3"/>
      <c r="L24" s="3">
        <f t="shared" si="2"/>
        <v>0</v>
      </c>
      <c r="M24" s="3"/>
      <c r="N24" s="20">
        <f t="shared" si="3"/>
        <v>0</v>
      </c>
      <c r="O24" s="12"/>
      <c r="P24" s="3">
        <v>0</v>
      </c>
      <c r="Q24" s="3"/>
      <c r="R24" s="20">
        <f t="shared" si="4"/>
        <v>0</v>
      </c>
      <c r="S24" s="3"/>
      <c r="T24" s="3"/>
      <c r="U24" s="3"/>
      <c r="V24" s="20">
        <f t="shared" si="5"/>
        <v>0</v>
      </c>
      <c r="W24" s="3"/>
      <c r="X24" s="3">
        <f t="shared" si="6"/>
        <v>0</v>
      </c>
      <c r="Y24" s="3"/>
      <c r="Z24" s="20">
        <f t="shared" si="7"/>
        <v>0</v>
      </c>
    </row>
    <row r="25" spans="1:26" s="70" customFormat="1" ht="15" hidden="1" customHeight="1" outlineLevel="1" x14ac:dyDescent="0.3">
      <c r="A25" s="42"/>
      <c r="B25" s="12" t="str">
        <f>CONCATENATE("          ","5200"," - ","PURCHASES OFFSET")</f>
        <v xml:space="preserve">          5200 - PURCHASES OFFSET</v>
      </c>
      <c r="C25" s="12"/>
      <c r="D25" s="3">
        <v>-18246.14</v>
      </c>
      <c r="E25" s="3"/>
      <c r="F25" s="20">
        <f t="shared" si="0"/>
        <v>-0.4505041776127362</v>
      </c>
      <c r="G25" s="3"/>
      <c r="H25" s="3"/>
      <c r="I25" s="3"/>
      <c r="J25" s="20">
        <f t="shared" si="1"/>
        <v>0</v>
      </c>
      <c r="K25" s="3"/>
      <c r="L25" s="3">
        <f t="shared" si="2"/>
        <v>-18246.14</v>
      </c>
      <c r="M25" s="3"/>
      <c r="N25" s="20">
        <f t="shared" si="3"/>
        <v>0</v>
      </c>
      <c r="O25" s="12"/>
      <c r="P25" s="3">
        <v>-149558.35999999999</v>
      </c>
      <c r="Q25" s="3"/>
      <c r="R25" s="20">
        <f t="shared" si="4"/>
        <v>-0.6597197130920025</v>
      </c>
      <c r="S25" s="3"/>
      <c r="T25" s="3"/>
      <c r="U25" s="3"/>
      <c r="V25" s="20">
        <f t="shared" si="5"/>
        <v>0</v>
      </c>
      <c r="W25" s="3"/>
      <c r="X25" s="3">
        <f t="shared" si="6"/>
        <v>-149558.35999999999</v>
      </c>
      <c r="Y25" s="3"/>
      <c r="Z25" s="20">
        <f t="shared" si="7"/>
        <v>0</v>
      </c>
    </row>
    <row r="26" spans="1:26" s="70" customFormat="1" ht="15" hidden="1" customHeight="1" outlineLevel="1" x14ac:dyDescent="0.3">
      <c r="A26" s="42"/>
      <c r="B26" s="12" t="str">
        <f>CONCATENATE("          ","5300"," - ","COG$ OFFSET")</f>
        <v xml:space="preserve">          5300 - COG$ OFFSET</v>
      </c>
      <c r="C26" s="12"/>
      <c r="D26" s="3">
        <v>21695.61</v>
      </c>
      <c r="E26" s="3"/>
      <c r="F26" s="20">
        <f t="shared" si="0"/>
        <v>0.53567291168743947</v>
      </c>
      <c r="G26" s="3"/>
      <c r="H26" s="3"/>
      <c r="I26" s="3"/>
      <c r="J26" s="20">
        <f t="shared" si="1"/>
        <v>0</v>
      </c>
      <c r="K26" s="3"/>
      <c r="L26" s="3">
        <f t="shared" si="2"/>
        <v>21695.61</v>
      </c>
      <c r="M26" s="3"/>
      <c r="N26" s="20">
        <f t="shared" si="3"/>
        <v>0</v>
      </c>
      <c r="O26" s="12"/>
      <c r="P26" s="3">
        <v>126272.61</v>
      </c>
      <c r="Q26" s="3"/>
      <c r="R26" s="20">
        <f t="shared" si="4"/>
        <v>0.55700350044342783</v>
      </c>
      <c r="S26" s="3"/>
      <c r="T26" s="3"/>
      <c r="U26" s="3"/>
      <c r="V26" s="20">
        <f t="shared" si="5"/>
        <v>0</v>
      </c>
      <c r="W26" s="3"/>
      <c r="X26" s="3">
        <f t="shared" si="6"/>
        <v>126272.61</v>
      </c>
      <c r="Y26" s="3"/>
      <c r="Z26" s="20">
        <f t="shared" si="7"/>
        <v>0</v>
      </c>
    </row>
    <row r="27" spans="1:26" s="70" customFormat="1" ht="15" hidden="1" customHeight="1" outlineLevel="1" x14ac:dyDescent="0.3">
      <c r="A27" s="42"/>
      <c r="B27" s="12" t="str">
        <f>CONCATENATE("          ","5500"," - ","FREIGHT-IN")</f>
        <v xml:space="preserve">          5500 - FREIGHT-IN</v>
      </c>
      <c r="C27" s="12"/>
      <c r="D27" s="3">
        <v>60</v>
      </c>
      <c r="E27" s="3"/>
      <c r="F27" s="20">
        <f t="shared" si="0"/>
        <v>1.481422956130128E-3</v>
      </c>
      <c r="G27" s="3"/>
      <c r="H27" s="3"/>
      <c r="I27" s="3"/>
      <c r="J27" s="20">
        <f t="shared" si="1"/>
        <v>0</v>
      </c>
      <c r="K27" s="3"/>
      <c r="L27" s="3">
        <f t="shared" si="2"/>
        <v>60</v>
      </c>
      <c r="M27" s="3"/>
      <c r="N27" s="20">
        <f t="shared" si="3"/>
        <v>0</v>
      </c>
      <c r="O27" s="12"/>
      <c r="P27" s="3">
        <v>1362.73</v>
      </c>
      <c r="Q27" s="3"/>
      <c r="R27" s="20">
        <f t="shared" si="4"/>
        <v>6.0111641009025817E-3</v>
      </c>
      <c r="S27" s="3"/>
      <c r="T27" s="3"/>
      <c r="U27" s="3"/>
      <c r="V27" s="20">
        <f t="shared" si="5"/>
        <v>0</v>
      </c>
      <c r="W27" s="3"/>
      <c r="X27" s="3">
        <f t="shared" si="6"/>
        <v>1362.73</v>
      </c>
      <c r="Y27" s="3"/>
      <c r="Z27" s="20">
        <f t="shared" si="7"/>
        <v>0</v>
      </c>
    </row>
    <row r="28" spans="1:26" s="70" customFormat="1" ht="15" hidden="1" customHeight="1" outlineLevel="1" x14ac:dyDescent="0.3">
      <c r="A28" s="42"/>
      <c r="B28" s="12" t="str">
        <f>CONCATENATE("          ","5528"," - ","FREIGHT-IN-ART/TECH")</f>
        <v xml:space="preserve">          5528 - FREIGHT-IN-ART/TECH</v>
      </c>
      <c r="C28" s="12"/>
      <c r="D28" s="3"/>
      <c r="E28" s="3"/>
      <c r="F28" s="20">
        <f t="shared" si="0"/>
        <v>0</v>
      </c>
      <c r="G28" s="3"/>
      <c r="H28" s="3"/>
      <c r="I28" s="3"/>
      <c r="J28" s="20">
        <f t="shared" si="1"/>
        <v>0</v>
      </c>
      <c r="K28" s="3"/>
      <c r="L28" s="3">
        <f t="shared" si="2"/>
        <v>0</v>
      </c>
      <c r="M28" s="3"/>
      <c r="N28" s="20">
        <f t="shared" si="3"/>
        <v>0</v>
      </c>
      <c r="O28" s="12"/>
      <c r="P28" s="3">
        <v>0</v>
      </c>
      <c r="Q28" s="3"/>
      <c r="R28" s="20">
        <f t="shared" si="4"/>
        <v>0</v>
      </c>
      <c r="S28" s="3"/>
      <c r="T28" s="3"/>
      <c r="U28" s="3"/>
      <c r="V28" s="20">
        <f t="shared" si="5"/>
        <v>0</v>
      </c>
      <c r="W28" s="3"/>
      <c r="X28" s="3">
        <f t="shared" si="6"/>
        <v>0</v>
      </c>
      <c r="Y28" s="3"/>
      <c r="Z28" s="20">
        <f t="shared" si="7"/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7" t="s">
        <v>289</v>
      </c>
      <c r="C30" s="27"/>
      <c r="D30" s="21">
        <f>D12-D18</f>
        <v>18805.990000000005</v>
      </c>
      <c r="E30" s="15"/>
      <c r="F30" s="23">
        <f>IF(D$12=0,0,D30/D$12)</f>
        <v>0.46432708831256053</v>
      </c>
      <c r="G30" s="15"/>
      <c r="H30" s="21">
        <f>H12-H18</f>
        <v>18561</v>
      </c>
      <c r="I30" s="15"/>
      <c r="J30" s="23">
        <f>IF(H$12=0,0,H30/H$12)</f>
        <v>0.481528563275048</v>
      </c>
      <c r="K30" s="17"/>
      <c r="L30" s="21">
        <f>+D30-H30</f>
        <v>244.99000000000524</v>
      </c>
      <c r="M30" s="17"/>
      <c r="N30" s="23">
        <f>IF(H30=0,0,L30/H30)</f>
        <v>1.3199181078605961E-2</v>
      </c>
      <c r="O30" s="28"/>
      <c r="P30" s="21">
        <f>P12-P18</f>
        <v>100427.23999999996</v>
      </c>
      <c r="Q30" s="15"/>
      <c r="R30" s="23">
        <f>IF(P$12=0,0,P30/P$12)</f>
        <v>0.44299649955657217</v>
      </c>
      <c r="S30" s="15"/>
      <c r="T30" s="21">
        <f>T12-T18</f>
        <v>204720</v>
      </c>
      <c r="U30" s="15"/>
      <c r="V30" s="23">
        <f>IF(T$12=0,0,T30/T$12)</f>
        <v>0.44197463697716294</v>
      </c>
      <c r="W30" s="17"/>
      <c r="X30" s="21">
        <f>+P30-T30</f>
        <v>-104292.76000000004</v>
      </c>
      <c r="Y30" s="17"/>
      <c r="Z30" s="23">
        <f>IF(T30=0,0,X30/T30)</f>
        <v>-0.5094409925752249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5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3" customFormat="1" ht="15" customHeight="1" x14ac:dyDescent="0.3">
      <c r="A32" s="11"/>
      <c r="B32" s="28" t="s">
        <v>290</v>
      </c>
      <c r="C32" s="11"/>
      <c r="D32" s="22" cm="1">
        <f t="array" ref="D32">SUM(OSRRefD22x_0)</f>
        <v>10679.669999999998</v>
      </c>
      <c r="E32" s="22"/>
      <c r="F32" s="33">
        <f t="shared" ref="F32:F63" si="8">IF(D$12=0,0,D32/D$12)</f>
        <v>0.26368513836490404</v>
      </c>
      <c r="G32" s="22"/>
      <c r="H32" s="22" cm="1">
        <f t="array" ref="H32">SUM(OSRRefH22x_0)</f>
        <v>13075.060864999999</v>
      </c>
      <c r="I32" s="22"/>
      <c r="J32" s="33">
        <f t="shared" ref="J32:J63" si="9">IF(H$12=0,0,H32/H$12)</f>
        <v>0.33920668461059511</v>
      </c>
      <c r="K32" s="5"/>
      <c r="L32" s="22">
        <f t="shared" ref="L32:L63" si="10">+D32-H32</f>
        <v>-2395.3908650000012</v>
      </c>
      <c r="M32" s="5"/>
      <c r="N32" s="33">
        <f t="shared" ref="N32:N63" si="11">IF(H32=0,0,L32/H32)</f>
        <v>-0.18320303742616662</v>
      </c>
      <c r="O32" s="11"/>
      <c r="P32" s="22" cm="1">
        <f t="array" ref="P32">SUM(OSRRefP22x_0)</f>
        <v>59848.97</v>
      </c>
      <c r="Q32" s="22"/>
      <c r="R32" s="33">
        <f t="shared" ref="R32:R63" si="12">IF(P$12=0,0,P32/P$12)</f>
        <v>0.26400092457052798</v>
      </c>
      <c r="S32" s="22"/>
      <c r="T32" s="22" cm="1">
        <f t="array" ref="T32">SUM(OSRRefT22x_0)</f>
        <v>115780.35786400001</v>
      </c>
      <c r="U32" s="22"/>
      <c r="V32" s="33">
        <f t="shared" ref="V32:V63" si="13">IF(T$12=0,0,T32/T$12)</f>
        <v>0.24996083253237306</v>
      </c>
      <c r="W32" s="5"/>
      <c r="X32" s="22">
        <f t="shared" ref="X32:X63" si="14">+P32-T32</f>
        <v>-55931.387864000004</v>
      </c>
      <c r="Y32" s="5"/>
      <c r="Z32" s="33">
        <f t="shared" ref="Z32:Z63" si="15">IF(T32=0,0,X32/T32)</f>
        <v>-0.48308183612369837</v>
      </c>
    </row>
    <row r="33" spans="1:26" s="69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598.40000000000009</v>
      </c>
      <c r="E33" s="2"/>
      <c r="F33" s="6">
        <f t="shared" si="8"/>
        <v>1.4774724949137811E-2</v>
      </c>
      <c r="G33" s="2"/>
      <c r="H33" s="2">
        <f>SUM(OSRRefH22_0x_0)</f>
        <v>767.21086500000001</v>
      </c>
      <c r="I33" s="2"/>
      <c r="J33" s="6">
        <f t="shared" si="9"/>
        <v>1.9903773802729206E-2</v>
      </c>
      <c r="K33" s="2"/>
      <c r="L33" s="2">
        <f t="shared" si="10"/>
        <v>-168.81086499999992</v>
      </c>
      <c r="M33" s="2"/>
      <c r="N33" s="6">
        <f t="shared" si="11"/>
        <v>-0.22003190087773317</v>
      </c>
      <c r="O33" s="14"/>
      <c r="P33" s="2">
        <f>SUM(OSRRefP22_0x_0)</f>
        <v>1517.84</v>
      </c>
      <c r="Q33" s="2"/>
      <c r="R33" s="6">
        <f t="shared" si="12"/>
        <v>6.6953727582969294E-3</v>
      </c>
      <c r="S33" s="2"/>
      <c r="T33" s="2">
        <f>SUM(OSRRefT22_0x_0)</f>
        <v>7561.497863999999</v>
      </c>
      <c r="U33" s="2"/>
      <c r="V33" s="6">
        <f t="shared" si="13"/>
        <v>1.6324688713584369E-2</v>
      </c>
      <c r="W33" s="2"/>
      <c r="X33" s="2">
        <f t="shared" si="14"/>
        <v>-6043.6578639999989</v>
      </c>
      <c r="Y33" s="2"/>
      <c r="Z33" s="6">
        <f t="shared" si="15"/>
        <v>-0.79926728443231099</v>
      </c>
    </row>
    <row r="34" spans="1:26" s="70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7">
        <v>293.87</v>
      </c>
      <c r="E34" s="3"/>
      <c r="F34" s="8">
        <f t="shared" si="8"/>
        <v>7.2557627352993455E-3</v>
      </c>
      <c r="G34" s="3"/>
      <c r="H34" s="7">
        <v>196.52904000000001</v>
      </c>
      <c r="I34" s="3"/>
      <c r="J34" s="8">
        <f t="shared" si="9"/>
        <v>5.0985586053027554E-3</v>
      </c>
      <c r="K34" s="3"/>
      <c r="L34" s="7">
        <f t="shared" si="10"/>
        <v>97.340959999999995</v>
      </c>
      <c r="M34" s="3"/>
      <c r="N34" s="8">
        <f t="shared" si="11"/>
        <v>0.49530064360971787</v>
      </c>
      <c r="O34" s="12"/>
      <c r="P34" s="7">
        <v>636.98</v>
      </c>
      <c r="Q34" s="3"/>
      <c r="R34" s="8">
        <f t="shared" si="12"/>
        <v>2.8097945366968705E-3</v>
      </c>
      <c r="S34" s="3"/>
      <c r="T34" s="7">
        <v>2733.6362939999999</v>
      </c>
      <c r="U34" s="3"/>
      <c r="V34" s="8">
        <f t="shared" si="13"/>
        <v>5.9017092060777987E-3</v>
      </c>
      <c r="W34" s="3"/>
      <c r="X34" s="7">
        <f t="shared" si="14"/>
        <v>-2096.6562939999999</v>
      </c>
      <c r="Y34" s="3"/>
      <c r="Z34" s="8">
        <f t="shared" si="15"/>
        <v>-0.76698436386797542</v>
      </c>
    </row>
    <row r="35" spans="1:26" s="70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7">
        <v>94.67</v>
      </c>
      <c r="E35" s="3"/>
      <c r="F35" s="8">
        <f t="shared" si="8"/>
        <v>2.3374385209473203E-3</v>
      </c>
      <c r="G35" s="3"/>
      <c r="H35" s="7">
        <v>169.84110000000001</v>
      </c>
      <c r="I35" s="3"/>
      <c r="J35" s="8">
        <f t="shared" si="9"/>
        <v>4.4061926010480991E-3</v>
      </c>
      <c r="K35" s="3"/>
      <c r="L35" s="7">
        <f t="shared" si="10"/>
        <v>-75.17110000000001</v>
      </c>
      <c r="M35" s="3"/>
      <c r="N35" s="8">
        <f t="shared" si="11"/>
        <v>-0.44259663885832112</v>
      </c>
      <c r="O35" s="12"/>
      <c r="P35" s="7">
        <v>584.89</v>
      </c>
      <c r="Q35" s="3"/>
      <c r="R35" s="8">
        <f t="shared" si="12"/>
        <v>2.5800193515787507E-3</v>
      </c>
      <c r="S35" s="3"/>
      <c r="T35" s="7">
        <v>1436.8239599999999</v>
      </c>
      <c r="U35" s="3"/>
      <c r="V35" s="8">
        <f t="shared" si="13"/>
        <v>3.101991735644244E-3</v>
      </c>
      <c r="W35" s="3"/>
      <c r="X35" s="7">
        <f t="shared" si="14"/>
        <v>-851.93395999999996</v>
      </c>
      <c r="Y35" s="3"/>
      <c r="Z35" s="8">
        <f t="shared" si="15"/>
        <v>-0.59292855890292917</v>
      </c>
    </row>
    <row r="36" spans="1:26" s="70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70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7">
        <v>16.63</v>
      </c>
      <c r="E37" s="3"/>
      <c r="F37" s="8">
        <f t="shared" si="8"/>
        <v>4.1060106267406713E-4</v>
      </c>
      <c r="G37" s="3"/>
      <c r="H37" s="7">
        <v>22.863225</v>
      </c>
      <c r="I37" s="3"/>
      <c r="J37" s="8">
        <f t="shared" si="9"/>
        <v>5.9314131167955168E-4</v>
      </c>
      <c r="K37" s="3"/>
      <c r="L37" s="7">
        <f t="shared" si="10"/>
        <v>-6.2332250000000009</v>
      </c>
      <c r="M37" s="3"/>
      <c r="N37" s="8">
        <f t="shared" si="11"/>
        <v>-0.27263104833198293</v>
      </c>
      <c r="O37" s="12"/>
      <c r="P37" s="7">
        <v>102.74</v>
      </c>
      <c r="Q37" s="3"/>
      <c r="R37" s="8">
        <f t="shared" si="12"/>
        <v>4.5319835897553531E-4</v>
      </c>
      <c r="S37" s="3"/>
      <c r="T37" s="7">
        <v>193.41861</v>
      </c>
      <c r="U37" s="3"/>
      <c r="V37" s="8">
        <f t="shared" si="13"/>
        <v>4.1757581056749442E-4</v>
      </c>
      <c r="W37" s="3"/>
      <c r="X37" s="7">
        <f t="shared" si="14"/>
        <v>-90.678610000000006</v>
      </c>
      <c r="Y37" s="3"/>
      <c r="Z37" s="8">
        <f t="shared" si="15"/>
        <v>-0.46882050284613258</v>
      </c>
    </row>
    <row r="38" spans="1:26" s="70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70" customFormat="1" ht="15" hidden="1" customHeight="1" outlineLevel="2" x14ac:dyDescent="0.3">
      <c r="A39" s="26"/>
      <c r="B39" s="12" t="str">
        <f>CONCATENATE("          ","6116"," - ","EDUCATIONAL BENEFITS")</f>
        <v xml:space="preserve">          6116 - EDUCATIONAL BENEFITS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70" customFormat="1" ht="15" hidden="1" customHeight="1" outlineLevel="2" x14ac:dyDescent="0.3">
      <c r="A40" s="26"/>
      <c r="B40" s="12" t="str">
        <f>CONCATENATE("          ","6118"," - ","VACATION")</f>
        <v xml:space="preserve">          6118 - VACATION</v>
      </c>
      <c r="C40" s="12"/>
      <c r="D40" s="7">
        <v>73.92</v>
      </c>
      <c r="E40" s="3"/>
      <c r="F40" s="8">
        <f t="shared" si="8"/>
        <v>1.8251130819523177E-3</v>
      </c>
      <c r="G40" s="3"/>
      <c r="H40" s="7">
        <v>0</v>
      </c>
      <c r="I40" s="3"/>
      <c r="J40" s="8">
        <f t="shared" si="9"/>
        <v>0</v>
      </c>
      <c r="K40" s="3"/>
      <c r="L40" s="7">
        <f t="shared" si="10"/>
        <v>73.92</v>
      </c>
      <c r="M40" s="3"/>
      <c r="N40" s="8">
        <f t="shared" si="11"/>
        <v>0</v>
      </c>
      <c r="O40" s="12"/>
      <c r="P40" s="7">
        <v>73.92</v>
      </c>
      <c r="Q40" s="3"/>
      <c r="R40" s="8">
        <f t="shared" si="12"/>
        <v>3.2606991138282626E-4</v>
      </c>
      <c r="S40" s="3"/>
      <c r="T40" s="7">
        <v>0</v>
      </c>
      <c r="U40" s="3"/>
      <c r="V40" s="8">
        <f t="shared" si="13"/>
        <v>0</v>
      </c>
      <c r="W40" s="3"/>
      <c r="X40" s="7">
        <f t="shared" si="14"/>
        <v>73.92</v>
      </c>
      <c r="Y40" s="3"/>
      <c r="Z40" s="8">
        <f t="shared" si="15"/>
        <v>0</v>
      </c>
    </row>
    <row r="41" spans="1:26" s="70" customFormat="1" ht="15" hidden="1" customHeight="1" outlineLevel="2" x14ac:dyDescent="0.3">
      <c r="A41" s="26"/>
      <c r="B41" s="12" t="str">
        <f>CONCATENATE("          ","6119"," - ","SICK LEAVE")</f>
        <v xml:space="preserve">          6119 - SICK LEAVE</v>
      </c>
      <c r="C41" s="12"/>
      <c r="D41" s="7">
        <v>88.56</v>
      </c>
      <c r="E41" s="3"/>
      <c r="F41" s="8">
        <f t="shared" si="8"/>
        <v>2.1865802832480691E-3</v>
      </c>
      <c r="G41" s="3"/>
      <c r="H41" s="7">
        <v>377.97750000000002</v>
      </c>
      <c r="I41" s="3"/>
      <c r="J41" s="8">
        <f t="shared" si="9"/>
        <v>9.8058812846988017E-3</v>
      </c>
      <c r="K41" s="3"/>
      <c r="L41" s="7">
        <f t="shared" si="10"/>
        <v>-289.41750000000002</v>
      </c>
      <c r="M41" s="3"/>
      <c r="N41" s="8">
        <f t="shared" si="11"/>
        <v>-0.76570033930591108</v>
      </c>
      <c r="O41" s="12"/>
      <c r="P41" s="7">
        <v>88.56</v>
      </c>
      <c r="Q41" s="3"/>
      <c r="R41" s="8">
        <f t="shared" si="12"/>
        <v>3.9064869253332111E-4</v>
      </c>
      <c r="S41" s="3"/>
      <c r="T41" s="7">
        <v>3197.6190000000001</v>
      </c>
      <c r="U41" s="3"/>
      <c r="V41" s="8">
        <f t="shared" si="13"/>
        <v>6.9034119612948353E-3</v>
      </c>
      <c r="W41" s="3"/>
      <c r="X41" s="7">
        <f t="shared" si="14"/>
        <v>-3109.0590000000002</v>
      </c>
      <c r="Y41" s="3"/>
      <c r="Z41" s="8">
        <f t="shared" si="15"/>
        <v>-0.97230439273722102</v>
      </c>
    </row>
    <row r="42" spans="1:26" s="70" customFormat="1" ht="15" hidden="1" customHeight="1" outlineLevel="2" x14ac:dyDescent="0.3">
      <c r="A42" s="26"/>
      <c r="B42" s="12" t="str">
        <f>CONCATENATE("          ","6156"," - ","EMPLOYEE MEALS")</f>
        <v xml:space="preserve">          6156 - EMPLOYEE MEALS</v>
      </c>
      <c r="C42" s="12"/>
      <c r="D42" s="7">
        <v>30.75</v>
      </c>
      <c r="E42" s="3"/>
      <c r="F42" s="8">
        <f t="shared" si="8"/>
        <v>7.592292650166906E-4</v>
      </c>
      <c r="G42" s="3"/>
      <c r="H42" s="7"/>
      <c r="I42" s="3"/>
      <c r="J42" s="8">
        <f t="shared" si="9"/>
        <v>0</v>
      </c>
      <c r="K42" s="3"/>
      <c r="L42" s="7">
        <f t="shared" si="10"/>
        <v>30.75</v>
      </c>
      <c r="M42" s="3"/>
      <c r="N42" s="8">
        <f t="shared" si="11"/>
        <v>0</v>
      </c>
      <c r="O42" s="12"/>
      <c r="P42" s="7">
        <v>30.75</v>
      </c>
      <c r="Q42" s="3"/>
      <c r="R42" s="8">
        <f t="shared" si="12"/>
        <v>1.3564190712962539E-4</v>
      </c>
      <c r="S42" s="3"/>
      <c r="T42" s="7"/>
      <c r="U42" s="3"/>
      <c r="V42" s="8">
        <f t="shared" si="13"/>
        <v>0</v>
      </c>
      <c r="W42" s="3"/>
      <c r="X42" s="7">
        <f t="shared" si="14"/>
        <v>30.75</v>
      </c>
      <c r="Y42" s="3"/>
      <c r="Z42" s="8">
        <f t="shared" si="15"/>
        <v>0</v>
      </c>
    </row>
    <row r="43" spans="1:26" s="69" customFormat="1" ht="15" customHeight="1" outlineLevel="1" collapsed="1" x14ac:dyDescent="0.3">
      <c r="A43" s="25"/>
      <c r="B43" s="14" t="str">
        <f>CONCATENATE("     ","*Payroll                                          ")</f>
        <v xml:space="preserve">     *Payroll                                          </v>
      </c>
      <c r="C43" s="14"/>
      <c r="D43" s="2">
        <f>SUM(OSRRefD22_1x_0)</f>
        <v>8302.7900000000009</v>
      </c>
      <c r="E43" s="2"/>
      <c r="F43" s="6">
        <f t="shared" si="8"/>
        <v>0.20499906176546112</v>
      </c>
      <c r="G43" s="2"/>
      <c r="H43" s="2">
        <f>SUM(OSRRefH22_1x_0)</f>
        <v>10758.85</v>
      </c>
      <c r="I43" s="2"/>
      <c r="J43" s="6">
        <f t="shared" si="9"/>
        <v>0.27911715871945209</v>
      </c>
      <c r="K43" s="2"/>
      <c r="L43" s="2">
        <f t="shared" si="10"/>
        <v>-2456.0599999999995</v>
      </c>
      <c r="M43" s="2"/>
      <c r="N43" s="6">
        <f t="shared" si="11"/>
        <v>-0.22828276256291327</v>
      </c>
      <c r="O43" s="14"/>
      <c r="P43" s="2">
        <f>SUM(OSRRefP22_1x_0)</f>
        <v>41178.61</v>
      </c>
      <c r="Q43" s="2"/>
      <c r="R43" s="6">
        <f t="shared" si="12"/>
        <v>0.18164374612510772</v>
      </c>
      <c r="S43" s="2"/>
      <c r="T43" s="2">
        <f>SUM(OSRRefT22_1x_0)</f>
        <v>91017.86</v>
      </c>
      <c r="U43" s="2"/>
      <c r="V43" s="6">
        <f t="shared" si="13"/>
        <v>0.19650051598250409</v>
      </c>
      <c r="W43" s="2"/>
      <c r="X43" s="2">
        <f t="shared" si="14"/>
        <v>-49839.25</v>
      </c>
      <c r="Y43" s="2"/>
      <c r="Z43" s="6">
        <f t="shared" si="15"/>
        <v>-0.54757659650534518</v>
      </c>
    </row>
    <row r="44" spans="1:26" s="70" customFormat="1" ht="15" hidden="1" customHeight="1" outlineLevel="2" x14ac:dyDescent="0.3">
      <c r="A44" s="26"/>
      <c r="B44" s="12" t="str">
        <f>CONCATENATE("          ","6001"," - ","ADMINISTRATIVE SALARIES")</f>
        <v xml:space="preserve">          6001 - ADMINISTRATIVE SALARIES</v>
      </c>
      <c r="C44" s="12"/>
      <c r="D44" s="7"/>
      <c r="E44" s="3"/>
      <c r="F44" s="8">
        <f t="shared" si="8"/>
        <v>0</v>
      </c>
      <c r="G44" s="3"/>
      <c r="H44" s="7">
        <v>0</v>
      </c>
      <c r="I44" s="3"/>
      <c r="J44" s="8">
        <f t="shared" si="9"/>
        <v>0</v>
      </c>
      <c r="K44" s="3"/>
      <c r="L44" s="7">
        <f t="shared" si="10"/>
        <v>0</v>
      </c>
      <c r="M44" s="3"/>
      <c r="N44" s="8">
        <f t="shared" si="11"/>
        <v>0</v>
      </c>
      <c r="O44" s="12"/>
      <c r="P44" s="7"/>
      <c r="Q44" s="3"/>
      <c r="R44" s="8">
        <f t="shared" si="12"/>
        <v>0</v>
      </c>
      <c r="S44" s="3"/>
      <c r="T44" s="7">
        <v>0</v>
      </c>
      <c r="U44" s="3"/>
      <c r="V44" s="8">
        <f t="shared" si="13"/>
        <v>0</v>
      </c>
      <c r="W44" s="3"/>
      <c r="X44" s="7">
        <f t="shared" si="14"/>
        <v>0</v>
      </c>
      <c r="Y44" s="3"/>
      <c r="Z44" s="8">
        <f t="shared" si="15"/>
        <v>0</v>
      </c>
    </row>
    <row r="45" spans="1:26" s="70" customFormat="1" ht="15" hidden="1" customHeight="1" outlineLevel="2" x14ac:dyDescent="0.3">
      <c r="A45" s="26"/>
      <c r="B45" s="12" t="str">
        <f>CONCATENATE("          ","6002"," - ","STAFF SALARIES")</f>
        <v xml:space="preserve">          6002 - STAFF SALARIES</v>
      </c>
      <c r="C45" s="12"/>
      <c r="D45" s="7"/>
      <c r="E45" s="3"/>
      <c r="F45" s="8">
        <f t="shared" si="8"/>
        <v>0</v>
      </c>
      <c r="G45" s="3"/>
      <c r="H45" s="7">
        <v>0</v>
      </c>
      <c r="I45" s="3"/>
      <c r="J45" s="8">
        <f t="shared" si="9"/>
        <v>0</v>
      </c>
      <c r="K45" s="3"/>
      <c r="L45" s="7">
        <f t="shared" si="10"/>
        <v>0</v>
      </c>
      <c r="M45" s="3"/>
      <c r="N45" s="8">
        <f t="shared" si="11"/>
        <v>0</v>
      </c>
      <c r="O45" s="12"/>
      <c r="P45" s="7"/>
      <c r="Q45" s="3"/>
      <c r="R45" s="8">
        <f t="shared" si="12"/>
        <v>0</v>
      </c>
      <c r="S45" s="3"/>
      <c r="T45" s="7">
        <v>0</v>
      </c>
      <c r="U45" s="3"/>
      <c r="V45" s="8">
        <f t="shared" si="13"/>
        <v>0</v>
      </c>
      <c r="W45" s="3"/>
      <c r="X45" s="7">
        <f t="shared" si="14"/>
        <v>0</v>
      </c>
      <c r="Y45" s="3"/>
      <c r="Z45" s="8">
        <f t="shared" si="15"/>
        <v>0</v>
      </c>
    </row>
    <row r="46" spans="1:26" s="70" customFormat="1" ht="15" hidden="1" customHeight="1" outlineLevel="2" x14ac:dyDescent="0.3">
      <c r="A46" s="26"/>
      <c r="B46" s="12" t="str">
        <f>CONCATENATE("          ","6003"," - ","STAFF HOURLY-9 MONTH")</f>
        <v xml:space="preserve">          6003 - STAFF HOURLY-9 MONTH</v>
      </c>
      <c r="C46" s="12"/>
      <c r="D46" s="7"/>
      <c r="E46" s="3"/>
      <c r="F46" s="8">
        <f t="shared" si="8"/>
        <v>0</v>
      </c>
      <c r="G46" s="3"/>
      <c r="H46" s="7">
        <v>0</v>
      </c>
      <c r="I46" s="3"/>
      <c r="J46" s="8">
        <f t="shared" si="9"/>
        <v>0</v>
      </c>
      <c r="K46" s="3"/>
      <c r="L46" s="7">
        <f t="shared" si="10"/>
        <v>0</v>
      </c>
      <c r="M46" s="3"/>
      <c r="N46" s="8">
        <f t="shared" si="11"/>
        <v>0</v>
      </c>
      <c r="O46" s="12"/>
      <c r="P46" s="7"/>
      <c r="Q46" s="3"/>
      <c r="R46" s="8">
        <f t="shared" si="12"/>
        <v>0</v>
      </c>
      <c r="S46" s="3"/>
      <c r="T46" s="7">
        <v>0</v>
      </c>
      <c r="U46" s="3"/>
      <c r="V46" s="8">
        <f t="shared" si="13"/>
        <v>0</v>
      </c>
      <c r="W46" s="3"/>
      <c r="X46" s="7">
        <f t="shared" si="14"/>
        <v>0</v>
      </c>
      <c r="Y46" s="3"/>
      <c r="Z46" s="8">
        <f t="shared" si="15"/>
        <v>0</v>
      </c>
    </row>
    <row r="47" spans="1:26" s="70" customFormat="1" ht="15" hidden="1" customHeight="1" outlineLevel="2" x14ac:dyDescent="0.3">
      <c r="A47" s="26"/>
      <c r="B47" s="12" t="str">
        <f>CONCATENATE("          ","6004"," - ","STAFF HOURLY")</f>
        <v xml:space="preserve">          6004 - STAFF HOURLY</v>
      </c>
      <c r="C47" s="12"/>
      <c r="D47" s="7">
        <v>1733.88</v>
      </c>
      <c r="E47" s="3"/>
      <c r="F47" s="8">
        <f t="shared" si="8"/>
        <v>4.2810160586248439E-2</v>
      </c>
      <c r="G47" s="3"/>
      <c r="H47" s="7">
        <v>2439.6</v>
      </c>
      <c r="I47" s="3"/>
      <c r="J47" s="8">
        <f t="shared" si="9"/>
        <v>6.32906138120687E-2</v>
      </c>
      <c r="K47" s="3"/>
      <c r="L47" s="7">
        <f t="shared" si="10"/>
        <v>-705.7199999999998</v>
      </c>
      <c r="M47" s="3"/>
      <c r="N47" s="8">
        <f t="shared" si="11"/>
        <v>-0.28927693064436788</v>
      </c>
      <c r="O47" s="12"/>
      <c r="P47" s="7">
        <v>2517.4899999999998</v>
      </c>
      <c r="Q47" s="3"/>
      <c r="R47" s="8">
        <f t="shared" si="12"/>
        <v>1.110494779771579E-2</v>
      </c>
      <c r="S47" s="3"/>
      <c r="T47" s="7">
        <v>20638.560000000001</v>
      </c>
      <c r="U47" s="3"/>
      <c r="V47" s="8">
        <f t="shared" si="13"/>
        <v>4.455705384784777E-2</v>
      </c>
      <c r="W47" s="3"/>
      <c r="X47" s="7">
        <f t="shared" si="14"/>
        <v>-18121.07</v>
      </c>
      <c r="Y47" s="3"/>
      <c r="Z47" s="8">
        <f t="shared" si="15"/>
        <v>-0.87802007504399526</v>
      </c>
    </row>
    <row r="48" spans="1:26" s="70" customFormat="1" ht="15" hidden="1" customHeight="1" outlineLevel="2" x14ac:dyDescent="0.3">
      <c r="A48" s="26"/>
      <c r="B48" s="12" t="str">
        <f>CONCATENATE("          ","6005"," - ","TEMPORARY WAGES-HOURLY")</f>
        <v xml:space="preserve">          6005 - TEMPORARY WAGES-HOURLY</v>
      </c>
      <c r="C48" s="12"/>
      <c r="D48" s="7">
        <v>2107.63</v>
      </c>
      <c r="E48" s="3"/>
      <c r="F48" s="8">
        <f t="shared" si="8"/>
        <v>5.2038191083809027E-2</v>
      </c>
      <c r="G48" s="3"/>
      <c r="H48" s="7">
        <v>0</v>
      </c>
      <c r="I48" s="3"/>
      <c r="J48" s="8">
        <f t="shared" si="9"/>
        <v>0</v>
      </c>
      <c r="K48" s="3"/>
      <c r="L48" s="7">
        <f t="shared" si="10"/>
        <v>2107.63</v>
      </c>
      <c r="M48" s="3"/>
      <c r="N48" s="8">
        <f t="shared" si="11"/>
        <v>0</v>
      </c>
      <c r="O48" s="12"/>
      <c r="P48" s="7">
        <v>5808.94</v>
      </c>
      <c r="Q48" s="3"/>
      <c r="R48" s="8">
        <f t="shared" si="12"/>
        <v>2.562392520330296E-2</v>
      </c>
      <c r="S48" s="3"/>
      <c r="T48" s="7">
        <v>0</v>
      </c>
      <c r="U48" s="3"/>
      <c r="V48" s="8">
        <f t="shared" si="13"/>
        <v>0</v>
      </c>
      <c r="W48" s="3"/>
      <c r="X48" s="7">
        <f t="shared" si="14"/>
        <v>5808.94</v>
      </c>
      <c r="Y48" s="3"/>
      <c r="Z48" s="8">
        <f t="shared" si="15"/>
        <v>0</v>
      </c>
    </row>
    <row r="49" spans="1:26" s="70" customFormat="1" ht="15" hidden="1" customHeight="1" outlineLevel="2" x14ac:dyDescent="0.3">
      <c r="A49" s="26"/>
      <c r="B49" s="12" t="str">
        <f>CONCATENATE("          ","6006"," - ","TEMPORARY PART TIME")</f>
        <v xml:space="preserve">          6006 - TEMPORARY PART TIME</v>
      </c>
      <c r="C49" s="12"/>
      <c r="D49" s="7"/>
      <c r="E49" s="3"/>
      <c r="F49" s="8">
        <f t="shared" si="8"/>
        <v>0</v>
      </c>
      <c r="G49" s="3"/>
      <c r="H49" s="7">
        <v>0</v>
      </c>
      <c r="I49" s="3"/>
      <c r="J49" s="8">
        <f t="shared" si="9"/>
        <v>0</v>
      </c>
      <c r="K49" s="3"/>
      <c r="L49" s="7">
        <f t="shared" si="10"/>
        <v>0</v>
      </c>
      <c r="M49" s="3"/>
      <c r="N49" s="8">
        <f t="shared" si="11"/>
        <v>0</v>
      </c>
      <c r="O49" s="12"/>
      <c r="P49" s="7"/>
      <c r="Q49" s="3"/>
      <c r="R49" s="8">
        <f t="shared" si="12"/>
        <v>0</v>
      </c>
      <c r="S49" s="3"/>
      <c r="T49" s="7">
        <v>0</v>
      </c>
      <c r="U49" s="3"/>
      <c r="V49" s="8">
        <f t="shared" si="13"/>
        <v>0</v>
      </c>
      <c r="W49" s="3"/>
      <c r="X49" s="7">
        <f t="shared" si="14"/>
        <v>0</v>
      </c>
      <c r="Y49" s="3"/>
      <c r="Z49" s="8">
        <f t="shared" si="15"/>
        <v>0</v>
      </c>
    </row>
    <row r="50" spans="1:26" s="70" customFormat="1" ht="15" hidden="1" customHeight="1" outlineLevel="2" x14ac:dyDescent="0.3">
      <c r="A50" s="26"/>
      <c r="B50" s="12" t="str">
        <f>CONCATENATE("          ","6007"," - ","STUDENT HOURLY")</f>
        <v xml:space="preserve">          6007 - STUDENT HOURLY</v>
      </c>
      <c r="C50" s="12"/>
      <c r="D50" s="7">
        <v>3733.01</v>
      </c>
      <c r="E50" s="3"/>
      <c r="F50" s="8">
        <f t="shared" si="8"/>
        <v>9.2169445157722157E-2</v>
      </c>
      <c r="G50" s="3"/>
      <c r="H50" s="7">
        <v>0</v>
      </c>
      <c r="I50" s="3"/>
      <c r="J50" s="8">
        <f t="shared" si="9"/>
        <v>0</v>
      </c>
      <c r="K50" s="3"/>
      <c r="L50" s="7">
        <f t="shared" si="10"/>
        <v>3733.01</v>
      </c>
      <c r="M50" s="3"/>
      <c r="N50" s="8">
        <f t="shared" si="11"/>
        <v>0</v>
      </c>
      <c r="O50" s="12"/>
      <c r="P50" s="7">
        <v>26649.279999999999</v>
      </c>
      <c r="Q50" s="3"/>
      <c r="R50" s="8">
        <f t="shared" si="12"/>
        <v>0.11755314350671163</v>
      </c>
      <c r="S50" s="3"/>
      <c r="T50" s="7">
        <v>13995</v>
      </c>
      <c r="U50" s="3"/>
      <c r="V50" s="8">
        <f t="shared" si="13"/>
        <v>3.0214121944584775E-2</v>
      </c>
      <c r="W50" s="3"/>
      <c r="X50" s="7">
        <f t="shared" si="14"/>
        <v>12654.279999999999</v>
      </c>
      <c r="Y50" s="3"/>
      <c r="Z50" s="8">
        <f t="shared" si="15"/>
        <v>0.90420007145409065</v>
      </c>
    </row>
    <row r="51" spans="1:26" s="70" customFormat="1" ht="15" hidden="1" customHeight="1" outlineLevel="2" x14ac:dyDescent="0.3">
      <c r="A51" s="26"/>
      <c r="B51" s="12" t="str">
        <f>CONCATENATE("          ","6008"," - ","STUDENT HOURLY-FICA EXEMPT")</f>
        <v xml:space="preserve">          6008 - STUDENT HOURLY-FICA EXEMPT</v>
      </c>
      <c r="C51" s="12"/>
      <c r="D51" s="7">
        <v>728.27</v>
      </c>
      <c r="E51" s="3"/>
      <c r="F51" s="8">
        <f t="shared" si="8"/>
        <v>1.7981264937681471E-2</v>
      </c>
      <c r="G51" s="3"/>
      <c r="H51" s="7">
        <v>8319.25</v>
      </c>
      <c r="I51" s="3"/>
      <c r="J51" s="8">
        <f t="shared" si="9"/>
        <v>0.2158265449073834</v>
      </c>
      <c r="K51" s="3"/>
      <c r="L51" s="7">
        <f t="shared" si="10"/>
        <v>-7590.98</v>
      </c>
      <c r="M51" s="3"/>
      <c r="N51" s="8">
        <f t="shared" si="11"/>
        <v>-0.91245965682002583</v>
      </c>
      <c r="O51" s="12"/>
      <c r="P51" s="7">
        <v>6202.9</v>
      </c>
      <c r="Q51" s="3"/>
      <c r="R51" s="8">
        <f t="shared" si="12"/>
        <v>2.7361729617377338E-2</v>
      </c>
      <c r="S51" s="3"/>
      <c r="T51" s="7">
        <v>56384.3</v>
      </c>
      <c r="U51" s="3"/>
      <c r="V51" s="8">
        <f t="shared" si="13"/>
        <v>0.12172934019007155</v>
      </c>
      <c r="W51" s="3"/>
      <c r="X51" s="7">
        <f t="shared" si="14"/>
        <v>-50181.4</v>
      </c>
      <c r="Y51" s="3"/>
      <c r="Z51" s="8">
        <f t="shared" si="15"/>
        <v>-0.88998887988322983</v>
      </c>
    </row>
    <row r="52" spans="1:26" s="70" customFormat="1" ht="15" hidden="1" customHeight="1" outlineLevel="2" x14ac:dyDescent="0.3">
      <c r="A52" s="26"/>
      <c r="B52" s="12" t="str">
        <f>CONCATENATE("          ","6009"," - ","TEMPORARY-SEASONAL")</f>
        <v xml:space="preserve">          6009 - TEMPORARY-SEASONAL</v>
      </c>
      <c r="C52" s="12"/>
      <c r="D52" s="7"/>
      <c r="E52" s="3"/>
      <c r="F52" s="8">
        <f t="shared" si="8"/>
        <v>0</v>
      </c>
      <c r="G52" s="3"/>
      <c r="H52" s="7">
        <v>0</v>
      </c>
      <c r="I52" s="3"/>
      <c r="J52" s="8">
        <f t="shared" si="9"/>
        <v>0</v>
      </c>
      <c r="K52" s="3"/>
      <c r="L52" s="7">
        <f t="shared" si="10"/>
        <v>0</v>
      </c>
      <c r="M52" s="3"/>
      <c r="N52" s="8">
        <f t="shared" si="11"/>
        <v>0</v>
      </c>
      <c r="O52" s="12"/>
      <c r="P52" s="7"/>
      <c r="Q52" s="3"/>
      <c r="R52" s="8">
        <f t="shared" si="12"/>
        <v>0</v>
      </c>
      <c r="S52" s="3"/>
      <c r="T52" s="7">
        <v>0</v>
      </c>
      <c r="U52" s="3"/>
      <c r="V52" s="8">
        <f t="shared" si="13"/>
        <v>0</v>
      </c>
      <c r="W52" s="3"/>
      <c r="X52" s="7">
        <f t="shared" si="14"/>
        <v>0</v>
      </c>
      <c r="Y52" s="3"/>
      <c r="Z52" s="8">
        <f t="shared" si="15"/>
        <v>0</v>
      </c>
    </row>
    <row r="53" spans="1:26" s="70" customFormat="1" ht="15" hidden="1" customHeight="1" outlineLevel="2" x14ac:dyDescent="0.3">
      <c r="A53" s="26"/>
      <c r="B53" s="12" t="str">
        <f>CONCATENATE("          ","6010"," - ","GRATUITY")</f>
        <v xml:space="preserve">          6010 - GRATUITY</v>
      </c>
      <c r="C53" s="12"/>
      <c r="D53" s="7"/>
      <c r="E53" s="3"/>
      <c r="F53" s="8">
        <f t="shared" si="8"/>
        <v>0</v>
      </c>
      <c r="G53" s="3"/>
      <c r="H53" s="7">
        <v>0</v>
      </c>
      <c r="I53" s="3"/>
      <c r="J53" s="8">
        <f t="shared" si="9"/>
        <v>0</v>
      </c>
      <c r="K53" s="3"/>
      <c r="L53" s="7">
        <f t="shared" si="10"/>
        <v>0</v>
      </c>
      <c r="M53" s="3"/>
      <c r="N53" s="8">
        <f t="shared" si="11"/>
        <v>0</v>
      </c>
      <c r="O53" s="12"/>
      <c r="P53" s="7"/>
      <c r="Q53" s="3"/>
      <c r="R53" s="8">
        <f t="shared" si="12"/>
        <v>0</v>
      </c>
      <c r="S53" s="3"/>
      <c r="T53" s="7">
        <v>0</v>
      </c>
      <c r="U53" s="3"/>
      <c r="V53" s="8">
        <f t="shared" si="13"/>
        <v>0</v>
      </c>
      <c r="W53" s="3"/>
      <c r="X53" s="7">
        <f t="shared" si="14"/>
        <v>0</v>
      </c>
      <c r="Y53" s="3"/>
      <c r="Z53" s="8">
        <f t="shared" si="15"/>
        <v>0</v>
      </c>
    </row>
    <row r="54" spans="1:26" s="69" customFormat="1" ht="15" customHeight="1" outlineLevel="1" collapsed="1" x14ac:dyDescent="0.3">
      <c r="A54" s="25"/>
      <c r="B54" s="14" t="str">
        <f>CONCATENATE("     ","Advertising/Promo                                 ")</f>
        <v xml:space="preserve">     Advertising/Promo                                 </v>
      </c>
      <c r="C54" s="14"/>
      <c r="D54" s="2">
        <f>SUM(OSRRefD22_2x_0)</f>
        <v>0</v>
      </c>
      <c r="E54" s="2"/>
      <c r="F54" s="6">
        <f t="shared" si="8"/>
        <v>0</v>
      </c>
      <c r="G54" s="2"/>
      <c r="H54" s="2">
        <f>SUM(OSRRefH22_2x_0)</f>
        <v>50</v>
      </c>
      <c r="I54" s="2"/>
      <c r="J54" s="6">
        <f t="shared" si="9"/>
        <v>1.297151455403933E-3</v>
      </c>
      <c r="K54" s="2"/>
      <c r="L54" s="2">
        <f t="shared" si="10"/>
        <v>-50</v>
      </c>
      <c r="M54" s="2"/>
      <c r="N54" s="6">
        <f t="shared" si="11"/>
        <v>-1</v>
      </c>
      <c r="O54" s="14"/>
      <c r="P54" s="2">
        <f>SUM(OSRRefP22_2x_0)</f>
        <v>1669.12</v>
      </c>
      <c r="Q54" s="2"/>
      <c r="R54" s="6">
        <f t="shared" si="12"/>
        <v>7.3626868301853755E-3</v>
      </c>
      <c r="S54" s="2"/>
      <c r="T54" s="2">
        <f>SUM(OSRRefT22_2x_0)</f>
        <v>500</v>
      </c>
      <c r="U54" s="2"/>
      <c r="V54" s="6">
        <f t="shared" si="13"/>
        <v>1.0794613056300383E-3</v>
      </c>
      <c r="W54" s="2"/>
      <c r="X54" s="2">
        <f t="shared" si="14"/>
        <v>1169.1199999999999</v>
      </c>
      <c r="Y54" s="2"/>
      <c r="Z54" s="6">
        <f t="shared" si="15"/>
        <v>2.3382399999999999</v>
      </c>
    </row>
    <row r="55" spans="1:26" s="70" customFormat="1" ht="15" hidden="1" customHeight="1" outlineLevel="2" x14ac:dyDescent="0.3">
      <c r="A55" s="26"/>
      <c r="B55" s="12" t="str">
        <f>CONCATENATE("          ","6362"," - ","ADVERTISING EXPENSE")</f>
        <v xml:space="preserve">          6362 - ADVERTISING EXPENSE</v>
      </c>
      <c r="C55" s="12"/>
      <c r="D55" s="7"/>
      <c r="E55" s="3"/>
      <c r="F55" s="8">
        <f t="shared" si="8"/>
        <v>0</v>
      </c>
      <c r="G55" s="3"/>
      <c r="H55" s="7">
        <v>50</v>
      </c>
      <c r="I55" s="3"/>
      <c r="J55" s="8">
        <f t="shared" si="9"/>
        <v>1.297151455403933E-3</v>
      </c>
      <c r="K55" s="3"/>
      <c r="L55" s="7">
        <f t="shared" si="10"/>
        <v>-50</v>
      </c>
      <c r="M55" s="3"/>
      <c r="N55" s="8">
        <f t="shared" si="11"/>
        <v>-1</v>
      </c>
      <c r="O55" s="12"/>
      <c r="P55" s="7">
        <v>1669.12</v>
      </c>
      <c r="Q55" s="3"/>
      <c r="R55" s="8">
        <f t="shared" si="12"/>
        <v>7.3626868301853755E-3</v>
      </c>
      <c r="S55" s="3"/>
      <c r="T55" s="7">
        <v>500</v>
      </c>
      <c r="U55" s="3"/>
      <c r="V55" s="8">
        <f t="shared" si="13"/>
        <v>1.0794613056300383E-3</v>
      </c>
      <c r="W55" s="3"/>
      <c r="X55" s="7">
        <f t="shared" si="14"/>
        <v>1169.1199999999999</v>
      </c>
      <c r="Y55" s="3"/>
      <c r="Z55" s="8">
        <f t="shared" si="15"/>
        <v>2.3382399999999999</v>
      </c>
    </row>
    <row r="56" spans="1:26" s="69" customFormat="1" ht="15" customHeight="1" outlineLevel="1" collapsed="1" x14ac:dyDescent="0.3">
      <c r="A56" s="25"/>
      <c r="B56" s="14" t="str">
        <f>CONCATENATE("     ","Bad Debts/Over/Short                              ")</f>
        <v xml:space="preserve">     Bad Debts/Over/Short                              </v>
      </c>
      <c r="C56" s="14"/>
      <c r="D56" s="2">
        <f>SUM(OSRRefD22_3x_0)</f>
        <v>1.3</v>
      </c>
      <c r="E56" s="2"/>
      <c r="F56" s="6">
        <f t="shared" si="8"/>
        <v>3.2097497382819441E-5</v>
      </c>
      <c r="G56" s="2"/>
      <c r="H56" s="2">
        <f>SUM(OSRRefH22_3x_0)</f>
        <v>25</v>
      </c>
      <c r="I56" s="2"/>
      <c r="J56" s="6">
        <f t="shared" si="9"/>
        <v>6.4857572770196648E-4</v>
      </c>
      <c r="K56" s="2"/>
      <c r="L56" s="2">
        <f t="shared" si="10"/>
        <v>-23.7</v>
      </c>
      <c r="M56" s="2"/>
      <c r="N56" s="6">
        <f t="shared" si="11"/>
        <v>-0.94799999999999995</v>
      </c>
      <c r="O56" s="14"/>
      <c r="P56" s="2">
        <f>SUM(OSRRefP22_3x_0)</f>
        <v>-8.01</v>
      </c>
      <c r="Q56" s="2"/>
      <c r="R56" s="6">
        <f t="shared" si="12"/>
        <v>-3.5333062637668268E-5</v>
      </c>
      <c r="S56" s="2"/>
      <c r="T56" s="2">
        <f>SUM(OSRRefT22_3x_0)</f>
        <v>250</v>
      </c>
      <c r="U56" s="2"/>
      <c r="V56" s="6">
        <f t="shared" si="13"/>
        <v>5.3973065281501915E-4</v>
      </c>
      <c r="W56" s="2"/>
      <c r="X56" s="2">
        <f t="shared" si="14"/>
        <v>-258.01</v>
      </c>
      <c r="Y56" s="2"/>
      <c r="Z56" s="6">
        <f t="shared" si="15"/>
        <v>-1.0320400000000001</v>
      </c>
    </row>
    <row r="57" spans="1:26" s="70" customFormat="1" ht="15" hidden="1" customHeight="1" outlineLevel="2" x14ac:dyDescent="0.3">
      <c r="A57" s="26"/>
      <c r="B57" s="12" t="str">
        <f>CONCATENATE("          ","6272"," - ","CASH (OVER/SHORT)")</f>
        <v xml:space="preserve">          6272 - CASH (OVER/SHORT)</v>
      </c>
      <c r="C57" s="12"/>
      <c r="D57" s="7">
        <v>1.3</v>
      </c>
      <c r="E57" s="3"/>
      <c r="F57" s="8">
        <f t="shared" si="8"/>
        <v>3.2097497382819441E-5</v>
      </c>
      <c r="G57" s="3"/>
      <c r="H57" s="7">
        <v>25</v>
      </c>
      <c r="I57" s="3"/>
      <c r="J57" s="8">
        <f t="shared" si="9"/>
        <v>6.4857572770196648E-4</v>
      </c>
      <c r="K57" s="3"/>
      <c r="L57" s="7">
        <f t="shared" si="10"/>
        <v>-23.7</v>
      </c>
      <c r="M57" s="3"/>
      <c r="N57" s="8">
        <f t="shared" si="11"/>
        <v>-0.94799999999999995</v>
      </c>
      <c r="O57" s="12"/>
      <c r="P57" s="7">
        <v>-8.01</v>
      </c>
      <c r="Q57" s="3"/>
      <c r="R57" s="8">
        <f t="shared" si="12"/>
        <v>-3.5333062637668268E-5</v>
      </c>
      <c r="S57" s="3"/>
      <c r="T57" s="7">
        <v>250</v>
      </c>
      <c r="U57" s="3"/>
      <c r="V57" s="8">
        <f t="shared" si="13"/>
        <v>5.3973065281501915E-4</v>
      </c>
      <c r="W57" s="3"/>
      <c r="X57" s="7">
        <f t="shared" si="14"/>
        <v>-258.01</v>
      </c>
      <c r="Y57" s="3"/>
      <c r="Z57" s="8">
        <f t="shared" si="15"/>
        <v>-1.0320400000000001</v>
      </c>
    </row>
    <row r="58" spans="1:26" s="69" customFormat="1" ht="15" customHeight="1" outlineLevel="1" collapsed="1" x14ac:dyDescent="0.3">
      <c r="A58" s="25"/>
      <c r="B58" s="14" t="str">
        <f>CONCATENATE("     ","Bank/card Fees                                    ")</f>
        <v xml:space="preserve">     Bank/card Fees                                    </v>
      </c>
      <c r="C58" s="14"/>
      <c r="D58" s="2">
        <f>SUM(OSRRefD22_4x_0)</f>
        <v>0</v>
      </c>
      <c r="E58" s="2"/>
      <c r="F58" s="6">
        <f t="shared" si="8"/>
        <v>0</v>
      </c>
      <c r="G58" s="2"/>
      <c r="H58" s="2">
        <f>SUM(OSRRefH22_4x_0)</f>
        <v>689</v>
      </c>
      <c r="I58" s="2"/>
      <c r="J58" s="6">
        <f t="shared" si="9"/>
        <v>1.7874747055466197E-2</v>
      </c>
      <c r="K58" s="2"/>
      <c r="L58" s="2">
        <f t="shared" si="10"/>
        <v>-689</v>
      </c>
      <c r="M58" s="2"/>
      <c r="N58" s="6">
        <f t="shared" si="11"/>
        <v>-1</v>
      </c>
      <c r="O58" s="14"/>
      <c r="P58" s="2">
        <f>SUM(OSRRefP22_4x_0)</f>
        <v>0</v>
      </c>
      <c r="Q58" s="2"/>
      <c r="R58" s="6">
        <f t="shared" si="12"/>
        <v>0</v>
      </c>
      <c r="S58" s="2"/>
      <c r="T58" s="2">
        <f>SUM(OSRRefT22_4x_0)</f>
        <v>8601</v>
      </c>
      <c r="U58" s="2"/>
      <c r="V58" s="6">
        <f t="shared" si="13"/>
        <v>1.8568893379447921E-2</v>
      </c>
      <c r="W58" s="2"/>
      <c r="X58" s="2">
        <f t="shared" si="14"/>
        <v>-8601</v>
      </c>
      <c r="Y58" s="2"/>
      <c r="Z58" s="6">
        <f t="shared" si="15"/>
        <v>-1</v>
      </c>
    </row>
    <row r="59" spans="1:26" s="70" customFormat="1" ht="15" hidden="1" customHeight="1" outlineLevel="2" x14ac:dyDescent="0.3">
      <c r="A59" s="26"/>
      <c r="B59" s="12" t="str">
        <f>CONCATENATE("          ","6381"," - ","BANK/CREDIT CARD FEES")</f>
        <v xml:space="preserve">          6381 - BANK/CREDIT CARD FEES</v>
      </c>
      <c r="C59" s="12"/>
      <c r="D59" s="7"/>
      <c r="E59" s="3"/>
      <c r="F59" s="8">
        <f t="shared" si="8"/>
        <v>0</v>
      </c>
      <c r="G59" s="3"/>
      <c r="H59" s="7">
        <v>689</v>
      </c>
      <c r="I59" s="3"/>
      <c r="J59" s="8">
        <f t="shared" si="9"/>
        <v>1.7874747055466197E-2</v>
      </c>
      <c r="K59" s="3"/>
      <c r="L59" s="7">
        <f t="shared" si="10"/>
        <v>-689</v>
      </c>
      <c r="M59" s="3"/>
      <c r="N59" s="8">
        <f t="shared" si="11"/>
        <v>-1</v>
      </c>
      <c r="O59" s="12"/>
      <c r="P59" s="7"/>
      <c r="Q59" s="3"/>
      <c r="R59" s="8">
        <f t="shared" si="12"/>
        <v>0</v>
      </c>
      <c r="S59" s="3"/>
      <c r="T59" s="7">
        <v>8601</v>
      </c>
      <c r="U59" s="3"/>
      <c r="V59" s="8">
        <f t="shared" si="13"/>
        <v>1.8568893379447921E-2</v>
      </c>
      <c r="W59" s="3"/>
      <c r="X59" s="7">
        <f t="shared" si="14"/>
        <v>-8601</v>
      </c>
      <c r="Y59" s="3"/>
      <c r="Z59" s="8">
        <f t="shared" si="15"/>
        <v>-1</v>
      </c>
    </row>
    <row r="60" spans="1:26" s="69" customFormat="1" ht="15" customHeight="1" outlineLevel="1" collapsed="1" x14ac:dyDescent="0.3">
      <c r="A60" s="25"/>
      <c r="B60" s="14" t="str">
        <f>CONCATENATE("     ","Discounts and Markdowns                           ")</f>
        <v xml:space="preserve">     Discounts and Markdowns                           </v>
      </c>
      <c r="C60" s="14"/>
      <c r="D60" s="2">
        <f>SUM(OSRRefD22_5x_0)</f>
        <v>-20.86</v>
      </c>
      <c r="E60" s="2"/>
      <c r="F60" s="6">
        <f t="shared" si="8"/>
        <v>-5.1504138108124115E-4</v>
      </c>
      <c r="G60" s="2"/>
      <c r="H60" s="2">
        <f>SUM(OSRRefH22_5x_0)</f>
        <v>0</v>
      </c>
      <c r="I60" s="2"/>
      <c r="J60" s="6">
        <f t="shared" si="9"/>
        <v>0</v>
      </c>
      <c r="K60" s="2"/>
      <c r="L60" s="2">
        <f t="shared" si="10"/>
        <v>-20.86</v>
      </c>
      <c r="M60" s="2"/>
      <c r="N60" s="6">
        <f t="shared" si="11"/>
        <v>0</v>
      </c>
      <c r="O60" s="14"/>
      <c r="P60" s="2">
        <f>SUM(OSRRefP22_5x_0)</f>
        <v>-21.53</v>
      </c>
      <c r="Q60" s="2"/>
      <c r="R60" s="6">
        <f t="shared" si="12"/>
        <v>-9.497139058539299E-5</v>
      </c>
      <c r="S60" s="2"/>
      <c r="T60" s="2">
        <f>SUM(OSRRefT22_5x_0)</f>
        <v>0</v>
      </c>
      <c r="U60" s="2"/>
      <c r="V60" s="6">
        <f t="shared" si="13"/>
        <v>0</v>
      </c>
      <c r="W60" s="2"/>
      <c r="X60" s="2">
        <f t="shared" si="14"/>
        <v>-21.53</v>
      </c>
      <c r="Y60" s="2"/>
      <c r="Z60" s="6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","6382"," - ","DISCOUNTS/MARK DOWNS")</f>
        <v xml:space="preserve">          6382 - DISCOUNTS/MARK DOWNS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/>
      <c r="Q61" s="3"/>
      <c r="R61" s="8">
        <f t="shared" si="12"/>
        <v>0</v>
      </c>
      <c r="S61" s="3"/>
      <c r="T61" s="7">
        <v>0</v>
      </c>
      <c r="U61" s="3"/>
      <c r="V61" s="8">
        <f t="shared" si="13"/>
        <v>0</v>
      </c>
      <c r="W61" s="3"/>
      <c r="X61" s="7">
        <f t="shared" si="14"/>
        <v>0</v>
      </c>
      <c r="Y61" s="3"/>
      <c r="Z61" s="8">
        <f t="shared" si="15"/>
        <v>0</v>
      </c>
    </row>
    <row r="62" spans="1:26" s="70" customFormat="1" ht="15" hidden="1" customHeight="1" outlineLevel="2" x14ac:dyDescent="0.3">
      <c r="A62" s="26"/>
      <c r="B62" s="12" t="str">
        <f>CONCATENATE("          ","9175"," - ","EARNED DISCOUNTS")</f>
        <v xml:space="preserve">          9175 - EARNED DISCOUNTS</v>
      </c>
      <c r="C62" s="12"/>
      <c r="D62" s="7">
        <v>-20.86</v>
      </c>
      <c r="E62" s="3"/>
      <c r="F62" s="8">
        <f t="shared" si="8"/>
        <v>-5.1504138108124115E-4</v>
      </c>
      <c r="G62" s="3"/>
      <c r="H62" s="7"/>
      <c r="I62" s="3"/>
      <c r="J62" s="8">
        <f t="shared" si="9"/>
        <v>0</v>
      </c>
      <c r="K62" s="3"/>
      <c r="L62" s="7">
        <f t="shared" si="10"/>
        <v>-20.86</v>
      </c>
      <c r="M62" s="3"/>
      <c r="N62" s="8">
        <f t="shared" si="11"/>
        <v>0</v>
      </c>
      <c r="O62" s="12"/>
      <c r="P62" s="7">
        <v>-21.53</v>
      </c>
      <c r="Q62" s="3"/>
      <c r="R62" s="8">
        <f t="shared" si="12"/>
        <v>-9.497139058539299E-5</v>
      </c>
      <c r="S62" s="3"/>
      <c r="T62" s="7"/>
      <c r="U62" s="3"/>
      <c r="V62" s="8">
        <f t="shared" si="13"/>
        <v>0</v>
      </c>
      <c r="W62" s="3"/>
      <c r="X62" s="7">
        <f t="shared" si="14"/>
        <v>-21.53</v>
      </c>
      <c r="Y62" s="3"/>
      <c r="Z62" s="8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","Freight out/Postage                               ")</f>
        <v xml:space="preserve">     Freight out/Postage                               </v>
      </c>
      <c r="C63" s="14"/>
      <c r="D63" s="2">
        <f>SUM(OSRRefD22_6x_0)</f>
        <v>0</v>
      </c>
      <c r="E63" s="2"/>
      <c r="F63" s="6">
        <f t="shared" si="8"/>
        <v>0</v>
      </c>
      <c r="G63" s="2"/>
      <c r="H63" s="2">
        <f>SUM(OSRRefH22_6x_0)</f>
        <v>0</v>
      </c>
      <c r="I63" s="2"/>
      <c r="J63" s="6">
        <f t="shared" si="9"/>
        <v>0</v>
      </c>
      <c r="K63" s="2"/>
      <c r="L63" s="2">
        <f t="shared" si="10"/>
        <v>0</v>
      </c>
      <c r="M63" s="2"/>
      <c r="N63" s="6">
        <f t="shared" si="11"/>
        <v>0</v>
      </c>
      <c r="O63" s="14"/>
      <c r="P63" s="2">
        <f>SUM(OSRRefP22_6x_0)</f>
        <v>54.5</v>
      </c>
      <c r="Q63" s="2"/>
      <c r="R63" s="6">
        <f t="shared" si="12"/>
        <v>2.4040598174193765E-4</v>
      </c>
      <c r="S63" s="2"/>
      <c r="T63" s="2">
        <f>SUM(OSRRefT22_6x_0)</f>
        <v>0</v>
      </c>
      <c r="U63" s="2"/>
      <c r="V63" s="6">
        <f t="shared" si="13"/>
        <v>0</v>
      </c>
      <c r="W63" s="2"/>
      <c r="X63" s="2">
        <f t="shared" si="14"/>
        <v>54.5</v>
      </c>
      <c r="Y63" s="2"/>
      <c r="Z63" s="6">
        <f t="shared" si="15"/>
        <v>0</v>
      </c>
    </row>
    <row r="64" spans="1:26" s="70" customFormat="1" ht="15" hidden="1" customHeight="1" outlineLevel="2" x14ac:dyDescent="0.3">
      <c r="A64" s="26"/>
      <c r="B64" s="12" t="str">
        <f>CONCATENATE("          ","6307"," - ","POSTAGE")</f>
        <v xml:space="preserve">          6307 - POSTAGE</v>
      </c>
      <c r="C64" s="12"/>
      <c r="D64" s="7"/>
      <c r="E64" s="3"/>
      <c r="F64" s="8">
        <f t="shared" ref="F64:F83" si="16">IF(D$12=0,0,D64/D$12)</f>
        <v>0</v>
      </c>
      <c r="G64" s="3"/>
      <c r="H64" s="7"/>
      <c r="I64" s="3"/>
      <c r="J64" s="8">
        <f t="shared" ref="J64:J83" si="17">IF(H$12=0,0,H64/H$12)</f>
        <v>0</v>
      </c>
      <c r="K64" s="3"/>
      <c r="L64" s="7">
        <f t="shared" ref="L64:L83" si="18">+D64-H64</f>
        <v>0</v>
      </c>
      <c r="M64" s="3"/>
      <c r="N64" s="8">
        <f t="shared" ref="N64:N83" si="19">IF(H64=0,0,L64/H64)</f>
        <v>0</v>
      </c>
      <c r="O64" s="12"/>
      <c r="P64" s="7">
        <v>54.5</v>
      </c>
      <c r="Q64" s="3"/>
      <c r="R64" s="8">
        <f t="shared" ref="R64:R83" si="20">IF(P$12=0,0,P64/P$12)</f>
        <v>2.4040598174193765E-4</v>
      </c>
      <c r="S64" s="3"/>
      <c r="T64" s="7"/>
      <c r="U64" s="3"/>
      <c r="V64" s="8">
        <f t="shared" ref="V64:V83" si="21">IF(T$12=0,0,T64/T$12)</f>
        <v>0</v>
      </c>
      <c r="W64" s="3"/>
      <c r="X64" s="7">
        <f t="shared" ref="X64:X83" si="22">+P64-T64</f>
        <v>54.5</v>
      </c>
      <c r="Y64" s="3"/>
      <c r="Z64" s="8">
        <f t="shared" ref="Z64:Z83" si="23">IF(T64=0,0,X64/T64)</f>
        <v>0</v>
      </c>
    </row>
    <row r="65" spans="1:26" s="69" customFormat="1" ht="15" customHeight="1" outlineLevel="1" collapsed="1" x14ac:dyDescent="0.3">
      <c r="A65" s="25"/>
      <c r="B65" s="14" t="str">
        <f>CONCATENATE("     ","General                                           ")</f>
        <v xml:space="preserve">     General                                           </v>
      </c>
      <c r="C65" s="14"/>
      <c r="D65" s="2">
        <f>SUM(OSRRefD22_7x_0)</f>
        <v>734.55</v>
      </c>
      <c r="E65" s="2"/>
      <c r="F65" s="6">
        <f t="shared" si="16"/>
        <v>1.8136320540423089E-2</v>
      </c>
      <c r="G65" s="2"/>
      <c r="H65" s="2">
        <f>SUM(OSRRefH22_7x_0)</f>
        <v>0</v>
      </c>
      <c r="I65" s="2"/>
      <c r="J65" s="6">
        <f t="shared" si="17"/>
        <v>0</v>
      </c>
      <c r="K65" s="2"/>
      <c r="L65" s="2">
        <f t="shared" si="18"/>
        <v>734.55</v>
      </c>
      <c r="M65" s="2"/>
      <c r="N65" s="6">
        <f t="shared" si="19"/>
        <v>0</v>
      </c>
      <c r="O65" s="14"/>
      <c r="P65" s="2">
        <f>SUM(OSRRefP22_7x_0)</f>
        <v>1122.5899999999999</v>
      </c>
      <c r="Q65" s="2"/>
      <c r="R65" s="6">
        <f t="shared" si="20"/>
        <v>4.9518780008015002E-3</v>
      </c>
      <c r="S65" s="2"/>
      <c r="T65" s="2">
        <f>SUM(OSRRefT22_7x_0)</f>
        <v>0</v>
      </c>
      <c r="U65" s="2"/>
      <c r="V65" s="6">
        <f t="shared" si="21"/>
        <v>0</v>
      </c>
      <c r="W65" s="2"/>
      <c r="X65" s="2">
        <f t="shared" si="22"/>
        <v>1122.5899999999999</v>
      </c>
      <c r="Y65" s="2"/>
      <c r="Z65" s="6">
        <f t="shared" si="23"/>
        <v>0</v>
      </c>
    </row>
    <row r="66" spans="1:26" s="70" customFormat="1" ht="15" hidden="1" customHeight="1" outlineLevel="2" x14ac:dyDescent="0.3">
      <c r="A66" s="26"/>
      <c r="B66" s="12" t="str">
        <f>CONCATENATE("          ","6279"," - ","GENERAL EXPENSE")</f>
        <v xml:space="preserve">          6279 - GENERAL EXPENSE</v>
      </c>
      <c r="C66" s="12"/>
      <c r="D66" s="7">
        <v>734.55</v>
      </c>
      <c r="E66" s="3"/>
      <c r="F66" s="8">
        <f t="shared" si="16"/>
        <v>1.8136320540423089E-2</v>
      </c>
      <c r="G66" s="3"/>
      <c r="H66" s="7">
        <v>0</v>
      </c>
      <c r="I66" s="3"/>
      <c r="J66" s="8">
        <f t="shared" si="17"/>
        <v>0</v>
      </c>
      <c r="K66" s="3"/>
      <c r="L66" s="7">
        <f t="shared" si="18"/>
        <v>734.55</v>
      </c>
      <c r="M66" s="3"/>
      <c r="N66" s="8">
        <f t="shared" si="19"/>
        <v>0</v>
      </c>
      <c r="O66" s="12"/>
      <c r="P66" s="7">
        <v>1122.5899999999999</v>
      </c>
      <c r="Q66" s="3"/>
      <c r="R66" s="8">
        <f t="shared" si="20"/>
        <v>4.9518780008015002E-3</v>
      </c>
      <c r="S66" s="3"/>
      <c r="T66" s="7">
        <v>0</v>
      </c>
      <c r="U66" s="3"/>
      <c r="V66" s="8">
        <f t="shared" si="21"/>
        <v>0</v>
      </c>
      <c r="W66" s="3"/>
      <c r="X66" s="7">
        <f t="shared" si="22"/>
        <v>1122.5899999999999</v>
      </c>
      <c r="Y66" s="3"/>
      <c r="Z66" s="8">
        <f t="shared" si="23"/>
        <v>0</v>
      </c>
    </row>
    <row r="67" spans="1:26" s="69" customFormat="1" ht="15" customHeight="1" outlineLevel="1" collapsed="1" x14ac:dyDescent="0.3">
      <c r="A67" s="25"/>
      <c r="B67" s="14" t="str">
        <f>CONCATENATE("     ","Inventory Adjustment                              ")</f>
        <v xml:space="preserve">     Inventory Adjustment                              </v>
      </c>
      <c r="C67" s="14"/>
      <c r="D67" s="2">
        <f>SUM(OSRRefD22_8x_0)</f>
        <v>650</v>
      </c>
      <c r="E67" s="2"/>
      <c r="F67" s="6">
        <f t="shared" si="16"/>
        <v>1.6048748691409719E-2</v>
      </c>
      <c r="G67" s="2"/>
      <c r="H67" s="2">
        <f>SUM(OSRRefH22_8x_0)</f>
        <v>650</v>
      </c>
      <c r="I67" s="2"/>
      <c r="J67" s="6">
        <f t="shared" si="17"/>
        <v>1.6862968920251128E-2</v>
      </c>
      <c r="K67" s="2"/>
      <c r="L67" s="2">
        <f t="shared" si="18"/>
        <v>0</v>
      </c>
      <c r="M67" s="2"/>
      <c r="N67" s="6">
        <f t="shared" si="19"/>
        <v>0</v>
      </c>
      <c r="O67" s="14"/>
      <c r="P67" s="2">
        <f>SUM(OSRRefP22_8x_0)</f>
        <v>6500</v>
      </c>
      <c r="Q67" s="2"/>
      <c r="R67" s="6">
        <f t="shared" si="20"/>
        <v>2.867227305179073E-2</v>
      </c>
      <c r="S67" s="2"/>
      <c r="T67" s="2">
        <f>SUM(OSRRefT22_8x_0)</f>
        <v>6500</v>
      </c>
      <c r="U67" s="2"/>
      <c r="V67" s="6">
        <f t="shared" si="21"/>
        <v>1.4032996973190499E-2</v>
      </c>
      <c r="W67" s="2"/>
      <c r="X67" s="2">
        <f t="shared" si="22"/>
        <v>0</v>
      </c>
      <c r="Y67" s="2"/>
      <c r="Z67" s="6">
        <f t="shared" si="23"/>
        <v>0</v>
      </c>
    </row>
    <row r="68" spans="1:26" s="70" customFormat="1" ht="15" hidden="1" customHeight="1" outlineLevel="2" x14ac:dyDescent="0.3">
      <c r="A68" s="26"/>
      <c r="B68" s="12" t="str">
        <f>CONCATENATE("          ","6408"," - ","INVENTORY ADJUSTMENT")</f>
        <v xml:space="preserve">          6408 - INVENTORY ADJUSTMENT</v>
      </c>
      <c r="C68" s="12"/>
      <c r="D68" s="7">
        <v>650</v>
      </c>
      <c r="E68" s="3"/>
      <c r="F68" s="8">
        <f t="shared" si="16"/>
        <v>1.6048748691409719E-2</v>
      </c>
      <c r="G68" s="3"/>
      <c r="H68" s="7">
        <v>650</v>
      </c>
      <c r="I68" s="3"/>
      <c r="J68" s="8">
        <f t="shared" si="17"/>
        <v>1.6862968920251128E-2</v>
      </c>
      <c r="K68" s="3"/>
      <c r="L68" s="7">
        <f t="shared" si="18"/>
        <v>0</v>
      </c>
      <c r="M68" s="3"/>
      <c r="N68" s="8">
        <f t="shared" si="19"/>
        <v>0</v>
      </c>
      <c r="O68" s="12"/>
      <c r="P68" s="7">
        <v>6500</v>
      </c>
      <c r="Q68" s="3"/>
      <c r="R68" s="8">
        <f t="shared" si="20"/>
        <v>2.867227305179073E-2</v>
      </c>
      <c r="S68" s="3"/>
      <c r="T68" s="7">
        <v>6500</v>
      </c>
      <c r="U68" s="3"/>
      <c r="V68" s="8">
        <f t="shared" si="21"/>
        <v>1.4032996973190499E-2</v>
      </c>
      <c r="W68" s="3"/>
      <c r="X68" s="7">
        <f t="shared" si="22"/>
        <v>0</v>
      </c>
      <c r="Y68" s="3"/>
      <c r="Z68" s="8">
        <f t="shared" si="23"/>
        <v>0</v>
      </c>
    </row>
    <row r="69" spans="1:26" s="69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SUM(OSRRefD22_9x_0)</f>
        <v>0</v>
      </c>
      <c r="E69" s="2"/>
      <c r="F69" s="6">
        <f t="shared" si="16"/>
        <v>0</v>
      </c>
      <c r="G69" s="2"/>
      <c r="H69" s="2">
        <f>SUM(OSRRefH22_9x_0)</f>
        <v>0</v>
      </c>
      <c r="I69" s="2"/>
      <c r="J69" s="6">
        <f t="shared" si="17"/>
        <v>0</v>
      </c>
      <c r="K69" s="2"/>
      <c r="L69" s="2">
        <f t="shared" si="18"/>
        <v>0</v>
      </c>
      <c r="M69" s="2"/>
      <c r="N69" s="6">
        <f t="shared" si="19"/>
        <v>0</v>
      </c>
      <c r="O69" s="14"/>
      <c r="P69" s="2">
        <f>SUM(OSRRefP22_9x_0)</f>
        <v>1057.25</v>
      </c>
      <c r="Q69" s="2"/>
      <c r="R69" s="6">
        <f t="shared" si="20"/>
        <v>4.663655489847038E-3</v>
      </c>
      <c r="S69" s="2"/>
      <c r="T69" s="2">
        <f>SUM(OSRRefT22_9x_0)</f>
        <v>0</v>
      </c>
      <c r="U69" s="2"/>
      <c r="V69" s="6">
        <f t="shared" si="21"/>
        <v>0</v>
      </c>
      <c r="W69" s="2"/>
      <c r="X69" s="2">
        <f t="shared" si="22"/>
        <v>1057.25</v>
      </c>
      <c r="Y69" s="2"/>
      <c r="Z69" s="6">
        <f t="shared" si="23"/>
        <v>0</v>
      </c>
    </row>
    <row r="70" spans="1:26" s="70" customFormat="1" ht="15" hidden="1" customHeight="1" outlineLevel="2" x14ac:dyDescent="0.3">
      <c r="A70" s="26"/>
      <c r="B70" s="12" t="str">
        <f>CONCATENATE("          ","6373"," - ","MAINTENANCE CONTRACTS")</f>
        <v xml:space="preserve">          6373 - MAINTENANCE CONTRACTS</v>
      </c>
      <c r="C70" s="12"/>
      <c r="D70" s="7"/>
      <c r="E70" s="3"/>
      <c r="F70" s="8">
        <f t="shared" si="16"/>
        <v>0</v>
      </c>
      <c r="G70" s="3"/>
      <c r="H70" s="7"/>
      <c r="I70" s="3"/>
      <c r="J70" s="8">
        <f t="shared" si="17"/>
        <v>0</v>
      </c>
      <c r="K70" s="3"/>
      <c r="L70" s="7">
        <f t="shared" si="18"/>
        <v>0</v>
      </c>
      <c r="M70" s="3"/>
      <c r="N70" s="8">
        <f t="shared" si="19"/>
        <v>0</v>
      </c>
      <c r="O70" s="12"/>
      <c r="P70" s="7">
        <v>339.23</v>
      </c>
      <c r="Q70" s="3"/>
      <c r="R70" s="8">
        <f t="shared" si="20"/>
        <v>1.4963838749783031E-3</v>
      </c>
      <c r="S70" s="3"/>
      <c r="T70" s="7"/>
      <c r="U70" s="3"/>
      <c r="V70" s="8">
        <f t="shared" si="21"/>
        <v>0</v>
      </c>
      <c r="W70" s="3"/>
      <c r="X70" s="7">
        <f t="shared" si="22"/>
        <v>339.23</v>
      </c>
      <c r="Y70" s="3"/>
      <c r="Z70" s="8">
        <f t="shared" si="23"/>
        <v>0</v>
      </c>
    </row>
    <row r="71" spans="1:26" s="70" customFormat="1" ht="15" hidden="1" customHeight="1" outlineLevel="2" x14ac:dyDescent="0.3">
      <c r="A71" s="26"/>
      <c r="B71" s="12" t="str">
        <f>CONCATENATE("          ","6375"," - ","OUTSIDE REPAIRS &amp; MAINTENANCE")</f>
        <v xml:space="preserve">          6375 - OUTSIDE REPAIRS &amp; MAINTENANCE</v>
      </c>
      <c r="C71" s="12"/>
      <c r="D71" s="7"/>
      <c r="E71" s="3"/>
      <c r="F71" s="8">
        <f t="shared" si="16"/>
        <v>0</v>
      </c>
      <c r="G71" s="3"/>
      <c r="H71" s="7"/>
      <c r="I71" s="3"/>
      <c r="J71" s="8">
        <f t="shared" si="17"/>
        <v>0</v>
      </c>
      <c r="K71" s="3"/>
      <c r="L71" s="7">
        <f t="shared" si="18"/>
        <v>0</v>
      </c>
      <c r="M71" s="3"/>
      <c r="N71" s="8">
        <f t="shared" si="19"/>
        <v>0</v>
      </c>
      <c r="O71" s="12"/>
      <c r="P71" s="7">
        <v>718.02</v>
      </c>
      <c r="Q71" s="3"/>
      <c r="R71" s="8">
        <f t="shared" si="20"/>
        <v>3.1672716148687351E-3</v>
      </c>
      <c r="S71" s="3"/>
      <c r="T71" s="7"/>
      <c r="U71" s="3"/>
      <c r="V71" s="8">
        <f t="shared" si="21"/>
        <v>0</v>
      </c>
      <c r="W71" s="3"/>
      <c r="X71" s="7">
        <f t="shared" si="22"/>
        <v>718.02</v>
      </c>
      <c r="Y71" s="3"/>
      <c r="Z71" s="8">
        <f t="shared" si="23"/>
        <v>0</v>
      </c>
    </row>
    <row r="72" spans="1:26" s="69" customFormat="1" ht="15" customHeight="1" outlineLevel="1" collapsed="1" x14ac:dyDescent="0.3">
      <c r="A72" s="25"/>
      <c r="B72" s="14" t="str">
        <f>CONCATENATE("     ","Services                                          ")</f>
        <v xml:space="preserve">     Services                                          </v>
      </c>
      <c r="C72" s="14"/>
      <c r="D72" s="2">
        <f>SUM(OSRRefD22_10x_0)</f>
        <v>204.81</v>
      </c>
      <c r="E72" s="2"/>
      <c r="F72" s="6">
        <f t="shared" si="16"/>
        <v>5.0568372607501921E-3</v>
      </c>
      <c r="G72" s="2"/>
      <c r="H72" s="2">
        <f>SUM(OSRRefH22_10x_0)</f>
        <v>0</v>
      </c>
      <c r="I72" s="2"/>
      <c r="J72" s="6">
        <f t="shared" si="17"/>
        <v>0</v>
      </c>
      <c r="K72" s="2"/>
      <c r="L72" s="2">
        <f t="shared" si="18"/>
        <v>204.81</v>
      </c>
      <c r="M72" s="2"/>
      <c r="N72" s="6">
        <f t="shared" si="19"/>
        <v>0</v>
      </c>
      <c r="O72" s="14"/>
      <c r="P72" s="2">
        <f>SUM(OSRRefP22_10x_0)</f>
        <v>4384.92</v>
      </c>
      <c r="Q72" s="2"/>
      <c r="R72" s="6">
        <f t="shared" si="20"/>
        <v>1.9342403623116646E-2</v>
      </c>
      <c r="S72" s="2"/>
      <c r="T72" s="2">
        <f>SUM(OSRRefT22_10x_0)</f>
        <v>0</v>
      </c>
      <c r="U72" s="2"/>
      <c r="V72" s="6">
        <f t="shared" si="21"/>
        <v>0</v>
      </c>
      <c r="W72" s="2"/>
      <c r="X72" s="2">
        <f t="shared" si="22"/>
        <v>4384.92</v>
      </c>
      <c r="Y72" s="2"/>
      <c r="Z72" s="6">
        <f t="shared" si="23"/>
        <v>0</v>
      </c>
    </row>
    <row r="73" spans="1:26" s="70" customFormat="1" ht="15" hidden="1" customHeight="1" outlineLevel="2" x14ac:dyDescent="0.3">
      <c r="A73" s="26"/>
      <c r="B73" s="12" t="str">
        <f>CONCATENATE("          ","6282"," - ","JANITORIAL/EXTERMINATOR EXPENS")</f>
        <v xml:space="preserve">          6282 - JANITORIAL/EXTERMINATOR EXPENS</v>
      </c>
      <c r="C73" s="12"/>
      <c r="D73" s="7">
        <v>69</v>
      </c>
      <c r="E73" s="3"/>
      <c r="F73" s="8">
        <f t="shared" si="16"/>
        <v>1.7036363995496472E-3</v>
      </c>
      <c r="G73" s="3"/>
      <c r="H73" s="7"/>
      <c r="I73" s="3"/>
      <c r="J73" s="8">
        <f t="shared" si="17"/>
        <v>0</v>
      </c>
      <c r="K73" s="3"/>
      <c r="L73" s="7">
        <f t="shared" si="18"/>
        <v>69</v>
      </c>
      <c r="M73" s="3"/>
      <c r="N73" s="8">
        <f t="shared" si="19"/>
        <v>0</v>
      </c>
      <c r="O73" s="12"/>
      <c r="P73" s="7">
        <v>905.6</v>
      </c>
      <c r="Q73" s="3"/>
      <c r="R73" s="8">
        <f t="shared" si="20"/>
        <v>3.9947093039541057E-3</v>
      </c>
      <c r="S73" s="3"/>
      <c r="T73" s="7"/>
      <c r="U73" s="3"/>
      <c r="V73" s="8">
        <f t="shared" si="21"/>
        <v>0</v>
      </c>
      <c r="W73" s="3"/>
      <c r="X73" s="7">
        <f t="shared" si="22"/>
        <v>905.6</v>
      </c>
      <c r="Y73" s="3"/>
      <c r="Z73" s="8">
        <f t="shared" si="23"/>
        <v>0</v>
      </c>
    </row>
    <row r="74" spans="1:26" s="70" customFormat="1" ht="15" hidden="1" customHeight="1" outlineLevel="2" x14ac:dyDescent="0.3">
      <c r="A74" s="26"/>
      <c r="B74" s="12" t="str">
        <f>CONCATENATE("          ","6285"," - ","JANITORIAL SERVICES")</f>
        <v xml:space="preserve">          6285 - JANITORIAL SERVICES</v>
      </c>
      <c r="C74" s="12"/>
      <c r="D74" s="7">
        <v>135.81</v>
      </c>
      <c r="E74" s="3"/>
      <c r="F74" s="8">
        <f t="shared" si="16"/>
        <v>3.3532008612005447E-3</v>
      </c>
      <c r="G74" s="3"/>
      <c r="H74" s="7"/>
      <c r="I74" s="3"/>
      <c r="J74" s="8">
        <f t="shared" si="17"/>
        <v>0</v>
      </c>
      <c r="K74" s="3"/>
      <c r="L74" s="7">
        <f t="shared" si="18"/>
        <v>135.81</v>
      </c>
      <c r="M74" s="3"/>
      <c r="N74" s="8">
        <f t="shared" si="19"/>
        <v>0</v>
      </c>
      <c r="O74" s="12"/>
      <c r="P74" s="7">
        <v>3479.32</v>
      </c>
      <c r="Q74" s="3"/>
      <c r="R74" s="8">
        <f t="shared" si="20"/>
        <v>1.5347694319162542E-2</v>
      </c>
      <c r="S74" s="3"/>
      <c r="T74" s="7"/>
      <c r="U74" s="3"/>
      <c r="V74" s="8">
        <f t="shared" si="21"/>
        <v>0</v>
      </c>
      <c r="W74" s="3"/>
      <c r="X74" s="7">
        <f t="shared" si="22"/>
        <v>3479.32</v>
      </c>
      <c r="Y74" s="3"/>
      <c r="Z74" s="8">
        <f t="shared" si="23"/>
        <v>0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SUM(OSRRefD22_11x_0)</f>
        <v>0</v>
      </c>
      <c r="E75" s="2"/>
      <c r="F75" s="6">
        <f t="shared" si="16"/>
        <v>0</v>
      </c>
      <c r="G75" s="2"/>
      <c r="H75" s="2">
        <f>SUM(OSRRefH22_11x_0)</f>
        <v>0</v>
      </c>
      <c r="I75" s="2"/>
      <c r="J75" s="6">
        <f t="shared" si="17"/>
        <v>0</v>
      </c>
      <c r="K75" s="2"/>
      <c r="L75" s="2">
        <f t="shared" si="18"/>
        <v>0</v>
      </c>
      <c r="M75" s="2"/>
      <c r="N75" s="6">
        <f t="shared" si="19"/>
        <v>0</v>
      </c>
      <c r="O75" s="14"/>
      <c r="P75" s="2">
        <f>SUM(OSRRefP22_11x_0)</f>
        <v>45.27</v>
      </c>
      <c r="Q75" s="2"/>
      <c r="R75" s="6">
        <f t="shared" si="20"/>
        <v>1.9969135400839483E-4</v>
      </c>
      <c r="S75" s="2"/>
      <c r="T75" s="2">
        <f>SUM(OSRRefT22_11x_0)</f>
        <v>0</v>
      </c>
      <c r="U75" s="2"/>
      <c r="V75" s="6">
        <f t="shared" si="21"/>
        <v>0</v>
      </c>
      <c r="W75" s="2"/>
      <c r="X75" s="2">
        <f t="shared" si="22"/>
        <v>45.27</v>
      </c>
      <c r="Y75" s="2"/>
      <c r="Z75" s="6">
        <f t="shared" si="23"/>
        <v>0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7"/>
      <c r="E76" s="3"/>
      <c r="F76" s="8">
        <f t="shared" si="16"/>
        <v>0</v>
      </c>
      <c r="G76" s="3"/>
      <c r="H76" s="7"/>
      <c r="I76" s="3"/>
      <c r="J76" s="8">
        <f t="shared" si="17"/>
        <v>0</v>
      </c>
      <c r="K76" s="3"/>
      <c r="L76" s="7">
        <f t="shared" si="18"/>
        <v>0</v>
      </c>
      <c r="M76" s="3"/>
      <c r="N76" s="8">
        <f t="shared" si="19"/>
        <v>0</v>
      </c>
      <c r="O76" s="12"/>
      <c r="P76" s="7">
        <v>45.27</v>
      </c>
      <c r="Q76" s="3"/>
      <c r="R76" s="8">
        <f t="shared" si="20"/>
        <v>1.9969135400839483E-4</v>
      </c>
      <c r="S76" s="3"/>
      <c r="T76" s="7"/>
      <c r="U76" s="3"/>
      <c r="V76" s="8">
        <f t="shared" si="21"/>
        <v>0</v>
      </c>
      <c r="W76" s="3"/>
      <c r="X76" s="7">
        <f t="shared" si="22"/>
        <v>45.27</v>
      </c>
      <c r="Y76" s="3"/>
      <c r="Z76" s="8">
        <f t="shared" si="23"/>
        <v>0</v>
      </c>
    </row>
    <row r="77" spans="1:26" s="69" customFormat="1" ht="15" customHeight="1" outlineLevel="1" collapsed="1" x14ac:dyDescent="0.3">
      <c r="A77" s="25"/>
      <c r="B77" s="14" t="str">
        <f>CONCATENATE("     ","Supplies                                          ")</f>
        <v xml:space="preserve">     Supplies                                          </v>
      </c>
      <c r="C77" s="14"/>
      <c r="D77" s="2">
        <f>SUM(OSRRefD22_12x_0)</f>
        <v>170.98</v>
      </c>
      <c r="E77" s="2"/>
      <c r="F77" s="6">
        <f t="shared" si="16"/>
        <v>4.2215616173188215E-3</v>
      </c>
      <c r="G77" s="2"/>
      <c r="H77" s="2">
        <f>SUM(OSRRefH22_12x_0)</f>
        <v>75</v>
      </c>
      <c r="I77" s="2"/>
      <c r="J77" s="6">
        <f t="shared" si="17"/>
        <v>1.9457271831058995E-3</v>
      </c>
      <c r="K77" s="2"/>
      <c r="L77" s="2">
        <f t="shared" si="18"/>
        <v>95.97999999999999</v>
      </c>
      <c r="M77" s="2"/>
      <c r="N77" s="6">
        <f t="shared" si="19"/>
        <v>1.2797333333333332</v>
      </c>
      <c r="O77" s="14"/>
      <c r="P77" s="2">
        <f>SUM(OSRRefP22_12x_0)</f>
        <v>1918.4699999999998</v>
      </c>
      <c r="Q77" s="2"/>
      <c r="R77" s="6">
        <f t="shared" si="20"/>
        <v>8.462599335641377E-3</v>
      </c>
      <c r="S77" s="2"/>
      <c r="T77" s="2">
        <f>SUM(OSRRefT22_12x_0)</f>
        <v>750</v>
      </c>
      <c r="U77" s="2"/>
      <c r="V77" s="6">
        <f t="shared" si="21"/>
        <v>1.6191919584450576E-3</v>
      </c>
      <c r="W77" s="2"/>
      <c r="X77" s="2">
        <f t="shared" si="22"/>
        <v>1168.4699999999998</v>
      </c>
      <c r="Y77" s="2"/>
      <c r="Z77" s="6">
        <f t="shared" si="23"/>
        <v>1.5579599999999998</v>
      </c>
    </row>
    <row r="78" spans="1:26" s="70" customFormat="1" ht="15" hidden="1" customHeight="1" outlineLevel="2" x14ac:dyDescent="0.3">
      <c r="A78" s="26"/>
      <c r="B78" s="12" t="str">
        <f>CONCATENATE("          ","6234"," - ","EXPENDABLE SUPPLIES &amp; EQUIPMEN")</f>
        <v xml:space="preserve">          6234 - EXPENDABLE SUPPLIES &amp; EQUIPMEN</v>
      </c>
      <c r="C78" s="12"/>
      <c r="D78" s="7"/>
      <c r="E78" s="3"/>
      <c r="F78" s="8">
        <f t="shared" si="16"/>
        <v>0</v>
      </c>
      <c r="G78" s="3"/>
      <c r="H78" s="7"/>
      <c r="I78" s="3"/>
      <c r="J78" s="8">
        <f t="shared" si="17"/>
        <v>0</v>
      </c>
      <c r="K78" s="3"/>
      <c r="L78" s="7">
        <f t="shared" si="18"/>
        <v>0</v>
      </c>
      <c r="M78" s="3"/>
      <c r="N78" s="8">
        <f t="shared" si="19"/>
        <v>0</v>
      </c>
      <c r="O78" s="12"/>
      <c r="P78" s="7">
        <v>1393.55</v>
      </c>
      <c r="Q78" s="3"/>
      <c r="R78" s="8">
        <f t="shared" si="20"/>
        <v>6.1471147863573798E-3</v>
      </c>
      <c r="S78" s="3"/>
      <c r="T78" s="7"/>
      <c r="U78" s="3"/>
      <c r="V78" s="8">
        <f t="shared" si="21"/>
        <v>0</v>
      </c>
      <c r="W78" s="3"/>
      <c r="X78" s="7">
        <f t="shared" si="22"/>
        <v>1393.55</v>
      </c>
      <c r="Y78" s="3"/>
      <c r="Z78" s="8">
        <f t="shared" si="23"/>
        <v>0</v>
      </c>
    </row>
    <row r="79" spans="1:26" s="70" customFormat="1" ht="15" hidden="1" customHeight="1" outlineLevel="2" x14ac:dyDescent="0.3">
      <c r="A79" s="26"/>
      <c r="B79" s="12" t="str">
        <f>CONCATENATE("          ","6235"," - ","COVID-19 EXPENSES")</f>
        <v xml:space="preserve">          6235 - COVID-19 EXPENSES</v>
      </c>
      <c r="C79" s="12"/>
      <c r="D79" s="7"/>
      <c r="E79" s="3"/>
      <c r="F79" s="8">
        <f t="shared" si="16"/>
        <v>0</v>
      </c>
      <c r="G79" s="3"/>
      <c r="H79" s="7">
        <v>25</v>
      </c>
      <c r="I79" s="3"/>
      <c r="J79" s="8">
        <f t="shared" si="17"/>
        <v>6.4857572770196648E-4</v>
      </c>
      <c r="K79" s="3"/>
      <c r="L79" s="7">
        <f t="shared" si="18"/>
        <v>-25</v>
      </c>
      <c r="M79" s="3"/>
      <c r="N79" s="8">
        <f t="shared" si="19"/>
        <v>-1</v>
      </c>
      <c r="O79" s="12"/>
      <c r="P79" s="7"/>
      <c r="Q79" s="3"/>
      <c r="R79" s="8">
        <f t="shared" si="20"/>
        <v>0</v>
      </c>
      <c r="S79" s="3"/>
      <c r="T79" s="7">
        <v>250</v>
      </c>
      <c r="U79" s="3"/>
      <c r="V79" s="8">
        <f t="shared" si="21"/>
        <v>5.3973065281501915E-4</v>
      </c>
      <c r="W79" s="3"/>
      <c r="X79" s="7">
        <f t="shared" si="22"/>
        <v>-250</v>
      </c>
      <c r="Y79" s="3"/>
      <c r="Z79" s="8">
        <f t="shared" si="23"/>
        <v>-1</v>
      </c>
    </row>
    <row r="80" spans="1:26" s="70" customFormat="1" ht="15" hidden="1" customHeight="1" outlineLevel="2" x14ac:dyDescent="0.3">
      <c r="A80" s="26"/>
      <c r="B80" s="12" t="str">
        <f>CONCATENATE("          ","6241"," - ","OFFICE EXPENSE")</f>
        <v xml:space="preserve">          6241 - OFFICE EXPENSE</v>
      </c>
      <c r="C80" s="12"/>
      <c r="D80" s="7">
        <v>304.31</v>
      </c>
      <c r="E80" s="3"/>
      <c r="F80" s="8">
        <f t="shared" si="16"/>
        <v>7.5135303296659873E-3</v>
      </c>
      <c r="G80" s="3"/>
      <c r="H80" s="7">
        <v>25</v>
      </c>
      <c r="I80" s="3"/>
      <c r="J80" s="8">
        <f t="shared" si="17"/>
        <v>6.4857572770196648E-4</v>
      </c>
      <c r="K80" s="3"/>
      <c r="L80" s="7">
        <f t="shared" si="18"/>
        <v>279.31</v>
      </c>
      <c r="M80" s="3"/>
      <c r="N80" s="8">
        <f t="shared" si="19"/>
        <v>11.1724</v>
      </c>
      <c r="O80" s="12"/>
      <c r="P80" s="7">
        <v>315.33999999999997</v>
      </c>
      <c r="Q80" s="3"/>
      <c r="R80" s="8">
        <f t="shared" si="20"/>
        <v>1.3910022437156444E-3</v>
      </c>
      <c r="S80" s="3"/>
      <c r="T80" s="7">
        <v>250</v>
      </c>
      <c r="U80" s="3"/>
      <c r="V80" s="8">
        <f t="shared" si="21"/>
        <v>5.3973065281501915E-4</v>
      </c>
      <c r="W80" s="3"/>
      <c r="X80" s="7">
        <f t="shared" si="22"/>
        <v>65.339999999999975</v>
      </c>
      <c r="Y80" s="3"/>
      <c r="Z80" s="8">
        <f t="shared" si="23"/>
        <v>0.26135999999999993</v>
      </c>
    </row>
    <row r="81" spans="1:26" s="70" customFormat="1" ht="15" hidden="1" customHeight="1" outlineLevel="2" x14ac:dyDescent="0.3">
      <c r="A81" s="26"/>
      <c r="B81" s="12" t="str">
        <f>CONCATENATE("          ","6247"," - ","STORE SUPPLIES")</f>
        <v xml:space="preserve">          6247 - STORE SUPPLIES</v>
      </c>
      <c r="C81" s="12"/>
      <c r="D81" s="7">
        <v>-133.33000000000001</v>
      </c>
      <c r="E81" s="3"/>
      <c r="F81" s="8">
        <f t="shared" si="16"/>
        <v>-3.2919687123471662E-3</v>
      </c>
      <c r="G81" s="3"/>
      <c r="H81" s="7">
        <v>25</v>
      </c>
      <c r="I81" s="3"/>
      <c r="J81" s="8">
        <f t="shared" si="17"/>
        <v>6.4857572770196648E-4</v>
      </c>
      <c r="K81" s="3"/>
      <c r="L81" s="7">
        <f t="shared" si="18"/>
        <v>-158.33000000000001</v>
      </c>
      <c r="M81" s="3"/>
      <c r="N81" s="8">
        <f t="shared" si="19"/>
        <v>-6.3332000000000006</v>
      </c>
      <c r="O81" s="12"/>
      <c r="P81" s="7">
        <v>209.58</v>
      </c>
      <c r="Q81" s="3"/>
      <c r="R81" s="8">
        <f t="shared" si="20"/>
        <v>9.2448230556835406E-4</v>
      </c>
      <c r="S81" s="3"/>
      <c r="T81" s="7">
        <v>250</v>
      </c>
      <c r="U81" s="3"/>
      <c r="V81" s="8">
        <f t="shared" si="21"/>
        <v>5.3973065281501915E-4</v>
      </c>
      <c r="W81" s="3"/>
      <c r="X81" s="7">
        <f t="shared" si="22"/>
        <v>-40.419999999999987</v>
      </c>
      <c r="Y81" s="3"/>
      <c r="Z81" s="8">
        <f t="shared" si="23"/>
        <v>-0.16167999999999996</v>
      </c>
    </row>
    <row r="82" spans="1:26" s="69" customFormat="1" ht="15" customHeight="1" outlineLevel="1" collapsed="1" x14ac:dyDescent="0.3">
      <c r="A82" s="25"/>
      <c r="B82" s="14" t="str">
        <f>CONCATENATE("     ","Telephone/Data Lines                              ")</f>
        <v xml:space="preserve">     Telephone/Data Lines                              </v>
      </c>
      <c r="C82" s="14"/>
      <c r="D82" s="2">
        <f>SUM(OSRRefD22_13x_0)</f>
        <v>37.700000000000003</v>
      </c>
      <c r="E82" s="2"/>
      <c r="F82" s="6">
        <f t="shared" si="16"/>
        <v>9.3082742410176386E-4</v>
      </c>
      <c r="G82" s="2"/>
      <c r="H82" s="2">
        <f>SUM(OSRRefH22_13x_0)</f>
        <v>60</v>
      </c>
      <c r="I82" s="2"/>
      <c r="J82" s="6">
        <f t="shared" si="17"/>
        <v>1.5565817464847195E-3</v>
      </c>
      <c r="K82" s="2"/>
      <c r="L82" s="2">
        <f t="shared" si="18"/>
        <v>-22.299999999999997</v>
      </c>
      <c r="M82" s="2"/>
      <c r="N82" s="6">
        <f t="shared" si="19"/>
        <v>-0.37166666666666665</v>
      </c>
      <c r="O82" s="14"/>
      <c r="P82" s="2">
        <f>SUM(OSRRefP22_13x_0)</f>
        <v>429.94</v>
      </c>
      <c r="Q82" s="2"/>
      <c r="R82" s="6">
        <f t="shared" si="20"/>
        <v>1.8965164732133702E-3</v>
      </c>
      <c r="S82" s="2"/>
      <c r="T82" s="2">
        <f>SUM(OSRRefT22_13x_0)</f>
        <v>600</v>
      </c>
      <c r="U82" s="2"/>
      <c r="V82" s="6">
        <f t="shared" si="21"/>
        <v>1.2953535667560461E-3</v>
      </c>
      <c r="W82" s="2"/>
      <c r="X82" s="2">
        <f t="shared" si="22"/>
        <v>-170.06</v>
      </c>
      <c r="Y82" s="2"/>
      <c r="Z82" s="6">
        <f t="shared" si="23"/>
        <v>-0.28343333333333331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37.700000000000003</v>
      </c>
      <c r="E83" s="3"/>
      <c r="F83" s="8">
        <f t="shared" si="16"/>
        <v>9.3082742410176386E-4</v>
      </c>
      <c r="G83" s="3"/>
      <c r="H83" s="7">
        <v>60</v>
      </c>
      <c r="I83" s="3"/>
      <c r="J83" s="8">
        <f t="shared" si="17"/>
        <v>1.5565817464847195E-3</v>
      </c>
      <c r="K83" s="3"/>
      <c r="L83" s="7">
        <f t="shared" si="18"/>
        <v>-22.299999999999997</v>
      </c>
      <c r="M83" s="3"/>
      <c r="N83" s="8">
        <f t="shared" si="19"/>
        <v>-0.37166666666666665</v>
      </c>
      <c r="O83" s="12"/>
      <c r="P83" s="7">
        <v>429.94</v>
      </c>
      <c r="Q83" s="3"/>
      <c r="R83" s="8">
        <f t="shared" si="20"/>
        <v>1.8965164732133702E-3</v>
      </c>
      <c r="S83" s="3"/>
      <c r="T83" s="7">
        <v>600</v>
      </c>
      <c r="U83" s="3"/>
      <c r="V83" s="8">
        <f t="shared" si="21"/>
        <v>1.2953535667560461E-3</v>
      </c>
      <c r="W83" s="3"/>
      <c r="X83" s="7">
        <f t="shared" si="22"/>
        <v>-170.06</v>
      </c>
      <c r="Y83" s="3"/>
      <c r="Z83" s="8">
        <f t="shared" si="23"/>
        <v>-0.28343333333333331</v>
      </c>
    </row>
    <row r="84" spans="1:26" s="65" customFormat="1" ht="15" customHeight="1" x14ac:dyDescent="0.3">
      <c r="A84" s="35"/>
      <c r="B84" s="35"/>
      <c r="C84" s="35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5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3" customFormat="1" ht="15" customHeight="1" x14ac:dyDescent="0.3">
      <c r="A85" s="11"/>
      <c r="B85" s="28" t="s">
        <v>291</v>
      </c>
      <c r="C85" s="11"/>
      <c r="D85" s="5">
        <f>SUM(0)</f>
        <v>0</v>
      </c>
      <c r="E85" s="5"/>
      <c r="F85" s="13">
        <f>IF(D$12=0,0,D85/D$12)</f>
        <v>0</v>
      </c>
      <c r="G85" s="5"/>
      <c r="H85" s="5">
        <f>SUM(0)</f>
        <v>0</v>
      </c>
      <c r="I85" s="5"/>
      <c r="J85" s="13">
        <f>IF(H$12=0,0,H85/H$12)</f>
        <v>0</v>
      </c>
      <c r="K85" s="5"/>
      <c r="L85" s="5">
        <f>+D85-H85</f>
        <v>0</v>
      </c>
      <c r="M85" s="5"/>
      <c r="N85" s="13">
        <f>IF(H85=0,0,L85/H85)</f>
        <v>0</v>
      </c>
      <c r="O85" s="11"/>
      <c r="P85" s="5">
        <f>SUM(0)</f>
        <v>0</v>
      </c>
      <c r="Q85" s="5"/>
      <c r="R85" s="13">
        <f>IF(P$12=0,0,P85/P$12)</f>
        <v>0</v>
      </c>
      <c r="S85" s="5"/>
      <c r="T85" s="5">
        <f>SUM(0)</f>
        <v>0</v>
      </c>
      <c r="U85" s="5"/>
      <c r="V85" s="13">
        <f>IF(T$12=0,0,T85/T$12)</f>
        <v>0</v>
      </c>
      <c r="W85" s="5"/>
      <c r="X85" s="5">
        <f>+P85-T85</f>
        <v>0</v>
      </c>
      <c r="Y85" s="5"/>
      <c r="Z85" s="13">
        <f>IF(T85=0,0,X85/T85)</f>
        <v>0</v>
      </c>
    </row>
    <row r="86" spans="1:26" ht="15" customHeight="1" x14ac:dyDescent="0.3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3" customFormat="1" ht="15" customHeight="1" x14ac:dyDescent="0.3">
      <c r="A87" s="11"/>
      <c r="B87" s="27" t="s">
        <v>292</v>
      </c>
      <c r="C87" s="27"/>
      <c r="D87" s="21">
        <f>+D30-D32+D85</f>
        <v>8126.320000000007</v>
      </c>
      <c r="E87" s="15"/>
      <c r="F87" s="23">
        <f>IF(D$12=0,0,D87/D$12)</f>
        <v>0.20064194994765652</v>
      </c>
      <c r="G87" s="15"/>
      <c r="H87" s="21">
        <f>+H30-H32+H85</f>
        <v>5485.9391350000005</v>
      </c>
      <c r="I87" s="15"/>
      <c r="J87" s="23">
        <f>IF(H$12=0,0,H87/H$12)</f>
        <v>0.14232187866445287</v>
      </c>
      <c r="K87" s="17"/>
      <c r="L87" s="21">
        <f>+D87-H87</f>
        <v>2640.3808650000065</v>
      </c>
      <c r="M87" s="17"/>
      <c r="N87" s="23">
        <f>IF(H87=0,0,L87/H87)</f>
        <v>0.48129970093078805</v>
      </c>
      <c r="O87" s="28"/>
      <c r="P87" s="21">
        <f>+P30-P32+P85</f>
        <v>40578.26999999996</v>
      </c>
      <c r="Q87" s="15"/>
      <c r="R87" s="23">
        <f>IF(P$12=0,0,P87/P$12)</f>
        <v>0.17899557498604415</v>
      </c>
      <c r="S87" s="15"/>
      <c r="T87" s="21">
        <f>+T30-T32+T85</f>
        <v>88939.642135999995</v>
      </c>
      <c r="U87" s="15"/>
      <c r="V87" s="23">
        <f>IF(T$12=0,0,T87/T$12)</f>
        <v>0.19201380444478985</v>
      </c>
      <c r="W87" s="17"/>
      <c r="X87" s="21">
        <f>+P87-T87</f>
        <v>-48361.372136000035</v>
      </c>
      <c r="Y87" s="17"/>
      <c r="Z87" s="23">
        <f>IF(T87=0,0,X87/T87)</f>
        <v>-0.543754966565408</v>
      </c>
    </row>
    <row r="88" spans="1:26" ht="15" customHeight="1" x14ac:dyDescent="0.3">
      <c r="A88" s="10"/>
      <c r="B88" s="11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3" customFormat="1" ht="15" customHeight="1" x14ac:dyDescent="0.3">
      <c r="A89" s="49"/>
      <c r="B89" s="11" t="s">
        <v>293</v>
      </c>
      <c r="C89" s="11"/>
      <c r="D89" s="5">
        <v>3459.14</v>
      </c>
      <c r="E89" s="5"/>
      <c r="F89" s="13">
        <f>IF(D$12=0,0,D89/D$12)</f>
        <v>8.5407490074466172E-2</v>
      </c>
      <c r="G89" s="5"/>
      <c r="H89" s="5">
        <v>5265</v>
      </c>
      <c r="I89" s="5"/>
      <c r="J89" s="13">
        <f>IF(H$12=0,0,H89/H$12)</f>
        <v>0.13659004825403415</v>
      </c>
      <c r="K89" s="5"/>
      <c r="L89" s="5">
        <f>+D89-H89</f>
        <v>-1805.8600000000001</v>
      </c>
      <c r="M89" s="5"/>
      <c r="N89" s="13">
        <f>IF(H89=0,0,L89/H89)</f>
        <v>-0.34299335232668571</v>
      </c>
      <c r="O89" s="11"/>
      <c r="P89" s="5">
        <v>25681.439999999999</v>
      </c>
      <c r="Q89" s="5"/>
      <c r="R89" s="13">
        <f>IF(P$12=0,0,P89/P$12)</f>
        <v>0.1132838861604893</v>
      </c>
      <c r="S89" s="5"/>
      <c r="T89" s="5">
        <v>56980</v>
      </c>
      <c r="U89" s="5"/>
      <c r="V89" s="13">
        <f>IF(T$12=0,0,T89/T$12)</f>
        <v>0.12301541038959918</v>
      </c>
      <c r="W89" s="5"/>
      <c r="X89" s="5">
        <f>+P89-T89</f>
        <v>-31298.560000000001</v>
      </c>
      <c r="Y89" s="5"/>
      <c r="Z89" s="13">
        <f>IF(T89=0,0,X89/T89)</f>
        <v>-0.54929027729027735</v>
      </c>
    </row>
    <row r="90" spans="1:26" ht="15" customHeight="1" x14ac:dyDescent="0.3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3">
      <c r="A91" s="11"/>
      <c r="B91" s="27" t="s">
        <v>294</v>
      </c>
      <c r="C91" s="27"/>
      <c r="D91" s="29">
        <f>+D87-D89</f>
        <v>4667.1800000000076</v>
      </c>
      <c r="E91" s="15"/>
      <c r="F91" s="30">
        <f>IF(D$12=0,0,D91/D$12)</f>
        <v>0.11523445987319036</v>
      </c>
      <c r="G91" s="15"/>
      <c r="H91" s="29">
        <f>+H87-H89</f>
        <v>220.93913500000053</v>
      </c>
      <c r="I91" s="15"/>
      <c r="J91" s="30">
        <f>IF(H$12=0,0,H91/H$12)</f>
        <v>5.731830410418734E-3</v>
      </c>
      <c r="K91" s="17"/>
      <c r="L91" s="29">
        <f>D91-H91</f>
        <v>4446.240865000007</v>
      </c>
      <c r="M91" s="17"/>
      <c r="N91" s="30">
        <f>IF(H91=0,0,L91/H91)</f>
        <v>20.124279317921637</v>
      </c>
      <c r="O91" s="28"/>
      <c r="P91" s="29">
        <f>+P87-P89</f>
        <v>14896.829999999962</v>
      </c>
      <c r="Q91" s="15"/>
      <c r="R91" s="30">
        <f>IF(P$12=0,0,P91/P$12)</f>
        <v>6.5711688825554865E-2</v>
      </c>
      <c r="S91" s="15"/>
      <c r="T91" s="29">
        <f>+T87-T89</f>
        <v>31959.642135999995</v>
      </c>
      <c r="U91" s="15"/>
      <c r="V91" s="30">
        <f>IF(T$12=0,0,T91/T$12)</f>
        <v>6.899839405519069E-2</v>
      </c>
      <c r="W91" s="17"/>
      <c r="X91" s="29">
        <f>P91-T91</f>
        <v>-17062.812136000033</v>
      </c>
      <c r="Y91" s="17"/>
      <c r="Z91" s="30">
        <f>IF(T91=0,0,X91/T91)</f>
        <v>-0.53388620759242267</v>
      </c>
    </row>
    <row r="92" spans="1:26" ht="15" customHeight="1" x14ac:dyDescent="0.3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ht="15" customHeight="1" x14ac:dyDescent="0.3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297</v>
      </c>
      <c r="C94" s="27"/>
      <c r="D94" s="32">
        <f>SUM(D91:D93)</f>
        <v>4667.1800000000076</v>
      </c>
      <c r="E94" s="15"/>
      <c r="F94" s="34">
        <f>IF(D$12=0,0,D94/D$12)</f>
        <v>0.11523445987319036</v>
      </c>
      <c r="G94" s="15"/>
      <c r="H94" s="32">
        <f>SUM(H91:H93)</f>
        <v>220.93913500000053</v>
      </c>
      <c r="I94" s="15"/>
      <c r="J94" s="34">
        <f>IF(H$12=0,0,H94/H$12)</f>
        <v>5.731830410418734E-3</v>
      </c>
      <c r="K94" s="17"/>
      <c r="L94" s="32">
        <f>+D94-H94</f>
        <v>4446.240865000007</v>
      </c>
      <c r="M94" s="17"/>
      <c r="N94" s="34">
        <f>IF(H94=0,0,L94/H94)</f>
        <v>20.124279317921637</v>
      </c>
      <c r="O94" s="28"/>
      <c r="P94" s="32">
        <f>SUM(P91:P93)</f>
        <v>14896.829999999962</v>
      </c>
      <c r="Q94" s="15"/>
      <c r="R94" s="34">
        <f>IF(P$12=0,0,P94/P$12)</f>
        <v>6.5711688825554865E-2</v>
      </c>
      <c r="S94" s="15"/>
      <c r="T94" s="32">
        <f>SUM(T91:T93)</f>
        <v>31959.642135999995</v>
      </c>
      <c r="U94" s="15"/>
      <c r="V94" s="34">
        <f>IF(T$12=0,0,T94/T$12)</f>
        <v>6.899839405519069E-2</v>
      </c>
      <c r="W94" s="17"/>
      <c r="X94" s="32">
        <f>+P94-T94</f>
        <v>-17062.812136000033</v>
      </c>
      <c r="Y94" s="17"/>
      <c r="Z94" s="34">
        <f>IF(T94=0,0,X94/T94)</f>
        <v>-0.53388620759242267</v>
      </c>
    </row>
    <row r="95" spans="1:26" ht="15" customHeight="1" x14ac:dyDescent="0.3">
      <c r="A95" s="10"/>
      <c r="C95" s="10"/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A96" s="10"/>
      <c r="B96" s="56">
        <v>44694.888552430559</v>
      </c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  <row r="97" spans="1:24" ht="15" customHeight="1" x14ac:dyDescent="0.3">
      <c r="A97" s="10"/>
      <c r="B97" s="50" t="s">
        <v>298</v>
      </c>
      <c r="D97" s="19"/>
      <c r="E97" s="19"/>
      <c r="G97" s="19"/>
      <c r="H97" s="19"/>
      <c r="I97" s="19"/>
      <c r="J97" s="40"/>
      <c r="K97" s="19"/>
      <c r="L97" s="19"/>
      <c r="M97" s="19"/>
      <c r="P97" s="19"/>
      <c r="Q97" s="19"/>
      <c r="R97" s="40"/>
      <c r="S97" s="19"/>
      <c r="T97" s="19"/>
      <c r="U97" s="19"/>
      <c r="V97" s="40"/>
      <c r="W97" s="19"/>
      <c r="X97" s="19"/>
    </row>
    <row r="98" spans="1:24" ht="15" customHeight="1" x14ac:dyDescent="0.3">
      <c r="A98" s="10"/>
      <c r="B98" s="51"/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4" ht="15" customHeight="1" x14ac:dyDescent="0.3"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9B538-A618-173A-70DF-5521F36E641E}">
  <sheetPr>
    <tabColor rgb="FFFFFF00"/>
    <outlinePr summaryBelow="0" summaryRight="0"/>
  </sheetPr>
  <dimension ref="A2:Z13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307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751705.72000000009</v>
      </c>
      <c r="E12" s="5"/>
      <c r="F12" s="13"/>
      <c r="G12" s="5"/>
      <c r="H12" s="5">
        <f>SUM(OSRRefH13x_0)</f>
        <v>255732</v>
      </c>
      <c r="I12" s="5"/>
      <c r="J12" s="13"/>
      <c r="K12" s="5"/>
      <c r="L12" s="5">
        <f t="shared" ref="L12:L17" si="0">+D12-H12</f>
        <v>495973.72000000009</v>
      </c>
      <c r="M12" s="5"/>
      <c r="N12" s="13">
        <f t="shared" ref="N12:N17" si="1">IF(H12=0,0,L12/H12)</f>
        <v>1.9394276821047036</v>
      </c>
      <c r="O12" s="11"/>
      <c r="P12" s="5">
        <f>SUM(OSRRefP13x_0)</f>
        <v>4037741.0700000003</v>
      </c>
      <c r="Q12" s="5"/>
      <c r="R12" s="13"/>
      <c r="S12" s="5"/>
      <c r="T12" s="5">
        <f>SUM(OSRRefT13x_0)</f>
        <v>2699417</v>
      </c>
      <c r="U12" s="5"/>
      <c r="V12" s="13"/>
      <c r="W12" s="5"/>
      <c r="X12" s="5">
        <f t="shared" ref="X12:X17" si="2">+P12-T12</f>
        <v>1338324.0700000003</v>
      </c>
      <c r="Y12" s="5"/>
      <c r="Z12" s="13">
        <f t="shared" ref="Z12:Z17" si="3">IF(T12=0,0,X12/T12)</f>
        <v>0.49578263380574411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--677452.17</f>
        <v>677452.17</v>
      </c>
      <c r="E13" s="3"/>
      <c r="F13" s="20"/>
      <c r="G13" s="3"/>
      <c r="H13" s="3">
        <v>255732</v>
      </c>
      <c r="I13" s="3"/>
      <c r="J13" s="20"/>
      <c r="K13" s="3"/>
      <c r="L13" s="3">
        <f t="shared" si="0"/>
        <v>421720.17000000004</v>
      </c>
      <c r="M13" s="3"/>
      <c r="N13" s="20">
        <f t="shared" si="1"/>
        <v>1.6490707850405895</v>
      </c>
      <c r="O13" s="12"/>
      <c r="P13" s="3">
        <f>--3754573.87</f>
        <v>3754573.87</v>
      </c>
      <c r="Q13" s="3"/>
      <c r="R13" s="20"/>
      <c r="S13" s="3"/>
      <c r="T13" s="3">
        <v>2699417</v>
      </c>
      <c r="U13" s="3"/>
      <c r="V13" s="20"/>
      <c r="W13" s="3"/>
      <c r="X13" s="3">
        <f t="shared" si="2"/>
        <v>1055156.8700000001</v>
      </c>
      <c r="Y13" s="3"/>
      <c r="Z13" s="20">
        <f t="shared" si="3"/>
        <v>0.39088324256682094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--112318.29</f>
        <v>112318.29</v>
      </c>
      <c r="E14" s="3"/>
      <c r="F14" s="20"/>
      <c r="G14" s="3"/>
      <c r="H14" s="3"/>
      <c r="I14" s="3"/>
      <c r="J14" s="20"/>
      <c r="K14" s="3"/>
      <c r="L14" s="3">
        <f t="shared" si="0"/>
        <v>112318.29</v>
      </c>
      <c r="M14" s="3"/>
      <c r="N14" s="20">
        <f t="shared" si="1"/>
        <v>0</v>
      </c>
      <c r="O14" s="12"/>
      <c r="P14" s="3">
        <f>--498804.15</f>
        <v>498804.15</v>
      </c>
      <c r="Q14" s="3"/>
      <c r="R14" s="20"/>
      <c r="S14" s="3"/>
      <c r="T14" s="3"/>
      <c r="U14" s="3"/>
      <c r="V14" s="20"/>
      <c r="W14" s="3"/>
      <c r="X14" s="3">
        <f t="shared" si="2"/>
        <v>498804.15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-22344.3</f>
        <v>-22344.3</v>
      </c>
      <c r="E15" s="3"/>
      <c r="F15" s="20"/>
      <c r="G15" s="3"/>
      <c r="H15" s="3"/>
      <c r="I15" s="3"/>
      <c r="J15" s="20"/>
      <c r="K15" s="3"/>
      <c r="L15" s="3">
        <f t="shared" si="0"/>
        <v>-22344.3</v>
      </c>
      <c r="M15" s="3"/>
      <c r="N15" s="20">
        <f t="shared" si="1"/>
        <v>0</v>
      </c>
      <c r="O15" s="12"/>
      <c r="P15" s="3">
        <f>-115549.44</f>
        <v>-115549.44</v>
      </c>
      <c r="Q15" s="3"/>
      <c r="R15" s="20"/>
      <c r="S15" s="3"/>
      <c r="T15" s="3"/>
      <c r="U15" s="3"/>
      <c r="V15" s="20"/>
      <c r="W15" s="3"/>
      <c r="X15" s="3">
        <f t="shared" si="2"/>
        <v>-115549.44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-1251.61</f>
        <v>-1251.6099999999999</v>
      </c>
      <c r="E16" s="3"/>
      <c r="F16" s="20"/>
      <c r="G16" s="3"/>
      <c r="H16" s="3"/>
      <c r="I16" s="3"/>
      <c r="J16" s="20"/>
      <c r="K16" s="3"/>
      <c r="L16" s="3">
        <f t="shared" si="0"/>
        <v>-1251.6099999999999</v>
      </c>
      <c r="M16" s="3"/>
      <c r="N16" s="20">
        <f t="shared" si="1"/>
        <v>0</v>
      </c>
      <c r="O16" s="12"/>
      <c r="P16" s="3">
        <f>-3150.14</f>
        <v>-3150.14</v>
      </c>
      <c r="Q16" s="3"/>
      <c r="R16" s="20"/>
      <c r="S16" s="3"/>
      <c r="T16" s="3"/>
      <c r="U16" s="3"/>
      <c r="V16" s="20"/>
      <c r="W16" s="3"/>
      <c r="X16" s="3">
        <f t="shared" si="2"/>
        <v>-3150.14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-14468.83</f>
        <v>-14468.83</v>
      </c>
      <c r="E17" s="3"/>
      <c r="F17" s="20"/>
      <c r="G17" s="3"/>
      <c r="H17" s="3"/>
      <c r="I17" s="3"/>
      <c r="J17" s="20"/>
      <c r="K17" s="3"/>
      <c r="L17" s="3">
        <f t="shared" si="0"/>
        <v>-14468.83</v>
      </c>
      <c r="M17" s="3"/>
      <c r="N17" s="20">
        <f t="shared" si="1"/>
        <v>0</v>
      </c>
      <c r="O17" s="12"/>
      <c r="P17" s="3">
        <f>-96937.37</f>
        <v>-96937.37</v>
      </c>
      <c r="Q17" s="3"/>
      <c r="R17" s="20"/>
      <c r="S17" s="3"/>
      <c r="T17" s="3"/>
      <c r="U17" s="3"/>
      <c r="V17" s="20"/>
      <c r="W17" s="3"/>
      <c r="X17" s="3">
        <f t="shared" si="2"/>
        <v>-96937.37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331704.71000000002</v>
      </c>
      <c r="E19" s="5"/>
      <c r="F19" s="13">
        <f t="shared" ref="F19:F38" si="4">IF(D$12=0,0,D19/D$12)</f>
        <v>0.44126937067872779</v>
      </c>
      <c r="G19" s="5"/>
      <c r="H19" s="5">
        <f>SUM(OSRRefH16x_0)</f>
        <v>123280</v>
      </c>
      <c r="I19" s="5"/>
      <c r="J19" s="13">
        <f t="shared" ref="J19:J38" si="5">IF(H$12=0,0,H19/H$12)</f>
        <v>0.48206716406237782</v>
      </c>
      <c r="K19" s="5"/>
      <c r="L19" s="5">
        <f t="shared" ref="L19:L38" si="6">+D19-H19</f>
        <v>208424.71000000002</v>
      </c>
      <c r="M19" s="5"/>
      <c r="N19" s="13">
        <f t="shared" ref="N19:N38" si="7">IF(H19=0,0,L19/H19)</f>
        <v>1.6906611778066192</v>
      </c>
      <c r="O19" s="11"/>
      <c r="P19" s="5">
        <f>SUM(OSRRefP16x_0)</f>
        <v>1892255.77</v>
      </c>
      <c r="Q19" s="5"/>
      <c r="R19" s="13">
        <f t="shared" ref="R19:R38" si="8">IF(P$12=0,0,P19/P$12)</f>
        <v>0.46864217818702275</v>
      </c>
      <c r="S19" s="5"/>
      <c r="T19" s="5">
        <f>SUM(OSRRefT16x_0)</f>
        <v>1367875</v>
      </c>
      <c r="U19" s="5"/>
      <c r="V19" s="13">
        <f t="shared" ref="V19:V38" si="9">IF(T$12=0,0,T19/T$12)</f>
        <v>0.50672978646870792</v>
      </c>
      <c r="W19" s="5"/>
      <c r="X19" s="5">
        <f t="shared" ref="X19:X38" si="10">+P19-T19</f>
        <v>524380.77</v>
      </c>
      <c r="Y19" s="5"/>
      <c r="Z19" s="13">
        <f t="shared" ref="Z19:Z38" si="11">IF(T19=0,0,X19/T19)</f>
        <v>0.38335430503518231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324929.61</v>
      </c>
      <c r="E20" s="3"/>
      <c r="F20" s="20">
        <f t="shared" si="4"/>
        <v>0.43225640214630795</v>
      </c>
      <c r="G20" s="3"/>
      <c r="H20" s="3">
        <v>123280</v>
      </c>
      <c r="I20" s="3"/>
      <c r="J20" s="20">
        <f t="shared" si="5"/>
        <v>0.48206716406237782</v>
      </c>
      <c r="K20" s="3"/>
      <c r="L20" s="3">
        <f t="shared" si="6"/>
        <v>201649.61</v>
      </c>
      <c r="M20" s="3"/>
      <c r="N20" s="20">
        <f t="shared" si="7"/>
        <v>1.6357041693705385</v>
      </c>
      <c r="O20" s="12"/>
      <c r="P20" s="3">
        <v>2111538.89</v>
      </c>
      <c r="Q20" s="3"/>
      <c r="R20" s="20">
        <f t="shared" si="8"/>
        <v>0.52295054422595755</v>
      </c>
      <c r="S20" s="3"/>
      <c r="T20" s="3">
        <v>1367875</v>
      </c>
      <c r="U20" s="3"/>
      <c r="V20" s="20">
        <f t="shared" si="9"/>
        <v>0.50672978646870792</v>
      </c>
      <c r="W20" s="3"/>
      <c r="X20" s="3">
        <f t="shared" si="10"/>
        <v>743663.89000000013</v>
      </c>
      <c r="Y20" s="3"/>
      <c r="Z20" s="20">
        <f t="shared" si="11"/>
        <v>0.54366363154528019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","5200"," - ","PURCHASES OFFSET")</f>
        <v xml:space="preserve">          5200 - PURCHASES OFFSET</v>
      </c>
      <c r="C30" s="12"/>
      <c r="D30" s="3">
        <v>-357462.56</v>
      </c>
      <c r="E30" s="3"/>
      <c r="F30" s="20">
        <f t="shared" si="4"/>
        <v>-0.47553524004047748</v>
      </c>
      <c r="G30" s="3"/>
      <c r="H30" s="3"/>
      <c r="I30" s="3"/>
      <c r="J30" s="20">
        <f t="shared" si="5"/>
        <v>0</v>
      </c>
      <c r="K30" s="3"/>
      <c r="L30" s="3">
        <f t="shared" si="6"/>
        <v>-357462.56</v>
      </c>
      <c r="M30" s="3"/>
      <c r="N30" s="20">
        <f t="shared" si="7"/>
        <v>0</v>
      </c>
      <c r="O30" s="12"/>
      <c r="P30" s="3">
        <v>-2217383.4700000002</v>
      </c>
      <c r="Q30" s="3"/>
      <c r="R30" s="20">
        <f t="shared" si="8"/>
        <v>-0.54916435490995963</v>
      </c>
      <c r="S30" s="3"/>
      <c r="T30" s="3"/>
      <c r="U30" s="3"/>
      <c r="V30" s="20">
        <f t="shared" si="9"/>
        <v>0</v>
      </c>
      <c r="W30" s="3"/>
      <c r="X30" s="3">
        <f t="shared" si="10"/>
        <v>-2217383.4700000002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","5300"," - ","COG$ OFFSET")</f>
        <v xml:space="preserve">          5300 - COG$ OFFSET</v>
      </c>
      <c r="C31" s="12"/>
      <c r="D31" s="3">
        <v>331704.71000000002</v>
      </c>
      <c r="E31" s="3"/>
      <c r="F31" s="20">
        <f t="shared" si="4"/>
        <v>0.44126937067872779</v>
      </c>
      <c r="G31" s="3"/>
      <c r="H31" s="3"/>
      <c r="I31" s="3"/>
      <c r="J31" s="20">
        <f t="shared" si="5"/>
        <v>0</v>
      </c>
      <c r="K31" s="3"/>
      <c r="L31" s="3">
        <f t="shared" si="6"/>
        <v>331704.71000000002</v>
      </c>
      <c r="M31" s="3"/>
      <c r="N31" s="20">
        <f t="shared" si="7"/>
        <v>0</v>
      </c>
      <c r="O31" s="12"/>
      <c r="P31" s="3">
        <v>1895255.77</v>
      </c>
      <c r="Q31" s="3"/>
      <c r="R31" s="20">
        <f t="shared" si="8"/>
        <v>0.46938516788051493</v>
      </c>
      <c r="S31" s="3"/>
      <c r="T31" s="3"/>
      <c r="U31" s="3"/>
      <c r="V31" s="20">
        <f t="shared" si="9"/>
        <v>0</v>
      </c>
      <c r="W31" s="3"/>
      <c r="X31" s="3">
        <f t="shared" si="10"/>
        <v>1895255.77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","5500"," - ","FREIGHT-IN")</f>
        <v xml:space="preserve">          5500 - FREIGHT-IN</v>
      </c>
      <c r="C32" s="12"/>
      <c r="D32" s="3">
        <v>32532.95</v>
      </c>
      <c r="E32" s="3"/>
      <c r="F32" s="20">
        <f t="shared" si="4"/>
        <v>4.3278837894169538E-2</v>
      </c>
      <c r="G32" s="3"/>
      <c r="H32" s="3"/>
      <c r="I32" s="3"/>
      <c r="J32" s="20">
        <f t="shared" si="5"/>
        <v>0</v>
      </c>
      <c r="K32" s="3"/>
      <c r="L32" s="3">
        <f t="shared" si="6"/>
        <v>32532.95</v>
      </c>
      <c r="M32" s="3"/>
      <c r="N32" s="20">
        <f t="shared" si="7"/>
        <v>0</v>
      </c>
      <c r="O32" s="12"/>
      <c r="P32" s="3">
        <v>102844.58</v>
      </c>
      <c r="Q32" s="3"/>
      <c r="R32" s="20">
        <f t="shared" si="8"/>
        <v>2.5470820990509922E-2</v>
      </c>
      <c r="S32" s="3"/>
      <c r="T32" s="3"/>
      <c r="U32" s="3"/>
      <c r="V32" s="20">
        <f t="shared" si="9"/>
        <v>0</v>
      </c>
      <c r="W32" s="3"/>
      <c r="X32" s="3">
        <f t="shared" si="10"/>
        <v>102844.58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289</v>
      </c>
      <c r="C40" s="27"/>
      <c r="D40" s="21">
        <f>D12-D19</f>
        <v>420001.01000000007</v>
      </c>
      <c r="E40" s="15"/>
      <c r="F40" s="23">
        <f>IF(D$12=0,0,D40/D$12)</f>
        <v>0.55873062932127215</v>
      </c>
      <c r="G40" s="15"/>
      <c r="H40" s="21">
        <f>H12-H19</f>
        <v>132452</v>
      </c>
      <c r="I40" s="15"/>
      <c r="J40" s="23">
        <f>IF(H$12=0,0,H40/H$12)</f>
        <v>0.51793283593762218</v>
      </c>
      <c r="K40" s="17"/>
      <c r="L40" s="21">
        <f>+D40-H40</f>
        <v>287549.01000000007</v>
      </c>
      <c r="M40" s="17"/>
      <c r="N40" s="23">
        <f>IF(H40=0,0,L40/H40)</f>
        <v>2.1709676713073423</v>
      </c>
      <c r="O40" s="28"/>
      <c r="P40" s="21">
        <f>P12-P19</f>
        <v>2145485.3000000003</v>
      </c>
      <c r="Q40" s="15"/>
      <c r="R40" s="23">
        <f>IF(P$12=0,0,P40/P$12)</f>
        <v>0.5313578218129773</v>
      </c>
      <c r="S40" s="15"/>
      <c r="T40" s="21">
        <f>T12-T19</f>
        <v>1331542</v>
      </c>
      <c r="U40" s="15"/>
      <c r="V40" s="23">
        <f>IF(T$12=0,0,T40/T$12)</f>
        <v>0.49327021353129213</v>
      </c>
      <c r="W40" s="17"/>
      <c r="X40" s="21">
        <f>+P40-T40</f>
        <v>813943.30000000028</v>
      </c>
      <c r="Y40" s="17"/>
      <c r="Z40" s="23">
        <f>IF(T40=0,0,X40/T40)</f>
        <v>0.61127872797102933</v>
      </c>
    </row>
    <row r="41" spans="1:26" ht="15" customHeight="1" x14ac:dyDescent="0.3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3">
      <c r="A42" s="11"/>
      <c r="B42" s="28" t="s">
        <v>290</v>
      </c>
      <c r="C42" s="11"/>
      <c r="D42" s="22" cm="1">
        <f t="array" ref="D42">SUM(OSRRefD22x_0)</f>
        <v>142778.09000000003</v>
      </c>
      <c r="E42" s="22"/>
      <c r="F42" s="33">
        <f t="shared" ref="F42:F73" si="12">IF(D$12=0,0,D42/D$12)</f>
        <v>0.18993881009712152</v>
      </c>
      <c r="G42" s="22"/>
      <c r="H42" s="22" cm="1">
        <f t="array" ref="H42">SUM(OSRRefH22x_0)</f>
        <v>134986.87842736536</v>
      </c>
      <c r="I42" s="22"/>
      <c r="J42" s="33">
        <f t="shared" ref="J42:J73" si="13">IF(H$12=0,0,H42/H$12)</f>
        <v>0.52784508167677635</v>
      </c>
      <c r="K42" s="5"/>
      <c r="L42" s="22">
        <f t="shared" ref="L42:L73" si="14">+D42-H42</f>
        <v>7791.2115726346674</v>
      </c>
      <c r="M42" s="5"/>
      <c r="N42" s="33">
        <f t="shared" ref="N42:N73" si="15">IF(H42=0,0,L42/H42)</f>
        <v>5.7718288350723027E-2</v>
      </c>
      <c r="O42" s="11"/>
      <c r="P42" s="22" cm="1">
        <f t="array" ref="P42">SUM(OSRRefP22x_0)</f>
        <v>1039998.2500000001</v>
      </c>
      <c r="Q42" s="22"/>
      <c r="R42" s="33">
        <f t="shared" ref="R42:R73" si="16">IF(P$12=0,0,P42/P$12)</f>
        <v>0.25756932699996044</v>
      </c>
      <c r="S42" s="22"/>
      <c r="T42" s="22" cm="1">
        <f t="array" ref="T42">SUM(OSRRefT22x_0)</f>
        <v>1100390.9460710157</v>
      </c>
      <c r="U42" s="22"/>
      <c r="V42" s="33">
        <f t="shared" ref="V42:V73" si="17">IF(T$12=0,0,T42/T$12)</f>
        <v>0.40764022234097796</v>
      </c>
      <c r="W42" s="5"/>
      <c r="X42" s="22">
        <f t="shared" ref="X42:X73" si="18">+P42-T42</f>
        <v>-60392.696071015554</v>
      </c>
      <c r="Y42" s="5"/>
      <c r="Z42" s="33">
        <f t="shared" ref="Z42:Z73" si="19">IF(T42=0,0,X42/T42)</f>
        <v>-5.4882945271996088E-2</v>
      </c>
    </row>
    <row r="43" spans="1:26" s="69" customFormat="1" ht="15" customHeight="1" outlineLevel="1" collapsed="1" x14ac:dyDescent="0.3">
      <c r="A43" s="25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13901.47</v>
      </c>
      <c r="E43" s="2"/>
      <c r="F43" s="6">
        <f t="shared" si="12"/>
        <v>1.8493234293867018E-2</v>
      </c>
      <c r="G43" s="2"/>
      <c r="H43" s="2">
        <f>SUM(OSRRefH22_0x_0)</f>
        <v>23816.346311980771</v>
      </c>
      <c r="I43" s="2"/>
      <c r="J43" s="6">
        <f t="shared" si="13"/>
        <v>9.313009835288806E-2</v>
      </c>
      <c r="K43" s="2"/>
      <c r="L43" s="2">
        <f t="shared" si="14"/>
        <v>-9914.8763119807718</v>
      </c>
      <c r="M43" s="2"/>
      <c r="N43" s="6">
        <f t="shared" si="15"/>
        <v>-0.41630551479649547</v>
      </c>
      <c r="O43" s="14"/>
      <c r="P43" s="2">
        <f>SUM(OSRRefP22_0x_0)</f>
        <v>146122.14000000001</v>
      </c>
      <c r="Q43" s="2"/>
      <c r="R43" s="6">
        <f t="shared" si="16"/>
        <v>3.6189081337006088E-2</v>
      </c>
      <c r="S43" s="2"/>
      <c r="T43" s="2">
        <f>SUM(OSRRefT22_0x_0)</f>
        <v>210692.28045563077</v>
      </c>
      <c r="U43" s="2"/>
      <c r="V43" s="6">
        <f t="shared" si="17"/>
        <v>7.8051031187708592E-2</v>
      </c>
      <c r="W43" s="2"/>
      <c r="X43" s="2">
        <f t="shared" si="18"/>
        <v>-64570.140455630753</v>
      </c>
      <c r="Y43" s="2"/>
      <c r="Z43" s="6">
        <f t="shared" si="19"/>
        <v>-0.30646656971007746</v>
      </c>
    </row>
    <row r="44" spans="1:26" s="70" customFormat="1" ht="15" hidden="1" customHeight="1" outlineLevel="2" x14ac:dyDescent="0.3">
      <c r="A44" s="26"/>
      <c r="B44" s="12" t="str">
        <f>CONCATENATE("          ","6111"," - ","F.I.C.A.")</f>
        <v xml:space="preserve">          6111 - F.I.C.A.</v>
      </c>
      <c r="C44" s="12"/>
      <c r="D44" s="7">
        <v>2972.79</v>
      </c>
      <c r="E44" s="3"/>
      <c r="F44" s="8">
        <f t="shared" si="12"/>
        <v>3.9547257934926978E-3</v>
      </c>
      <c r="G44" s="3"/>
      <c r="H44" s="7">
        <v>6286.0661749615401</v>
      </c>
      <c r="I44" s="3"/>
      <c r="J44" s="8">
        <f t="shared" si="13"/>
        <v>2.4580678894160841E-2</v>
      </c>
      <c r="K44" s="3"/>
      <c r="L44" s="7">
        <f t="shared" si="14"/>
        <v>-3313.2761749615402</v>
      </c>
      <c r="M44" s="3"/>
      <c r="N44" s="8">
        <f t="shared" si="15"/>
        <v>-0.52708261140470924</v>
      </c>
      <c r="O44" s="12"/>
      <c r="P44" s="7">
        <v>26833.3</v>
      </c>
      <c r="Q44" s="3"/>
      <c r="R44" s="8">
        <f t="shared" si="16"/>
        <v>6.6456217807943779E-3</v>
      </c>
      <c r="S44" s="3"/>
      <c r="T44" s="7">
        <v>49768.9259623615</v>
      </c>
      <c r="U44" s="3"/>
      <c r="V44" s="8">
        <f t="shared" si="17"/>
        <v>1.8436916549892626E-2</v>
      </c>
      <c r="W44" s="3"/>
      <c r="X44" s="7">
        <f t="shared" si="18"/>
        <v>-22935.625962361501</v>
      </c>
      <c r="Y44" s="3"/>
      <c r="Z44" s="8">
        <f t="shared" si="19"/>
        <v>-0.4608422930345516</v>
      </c>
    </row>
    <row r="45" spans="1:26" s="70" customFormat="1" ht="15" hidden="1" customHeight="1" outlineLevel="2" x14ac:dyDescent="0.3">
      <c r="A45" s="26"/>
      <c r="B45" s="12" t="str">
        <f>CONCATENATE("          ","6112"," - ","COMPENSATION INSURANCE")</f>
        <v xml:space="preserve">          6112 - COMPENSATION INSURANCE</v>
      </c>
      <c r="C45" s="12"/>
      <c r="D45" s="7">
        <v>1013.95</v>
      </c>
      <c r="E45" s="3"/>
      <c r="F45" s="8">
        <f t="shared" si="12"/>
        <v>1.3488656172524534E-3</v>
      </c>
      <c r="G45" s="3"/>
      <c r="H45" s="7">
        <v>1327.7448750000001</v>
      </c>
      <c r="I45" s="3"/>
      <c r="J45" s="8">
        <f t="shared" si="13"/>
        <v>5.1919387288254897E-3</v>
      </c>
      <c r="K45" s="3"/>
      <c r="L45" s="7">
        <f t="shared" si="14"/>
        <v>-313.79487500000005</v>
      </c>
      <c r="M45" s="3"/>
      <c r="N45" s="8">
        <f t="shared" si="15"/>
        <v>-0.23633672470398354</v>
      </c>
      <c r="O45" s="12"/>
      <c r="P45" s="7">
        <v>9616.48</v>
      </c>
      <c r="Q45" s="3"/>
      <c r="R45" s="8">
        <f t="shared" si="16"/>
        <v>2.3816485092244904E-3</v>
      </c>
      <c r="S45" s="3"/>
      <c r="T45" s="7">
        <v>11442.32955</v>
      </c>
      <c r="U45" s="3"/>
      <c r="V45" s="8">
        <f t="shared" si="17"/>
        <v>4.2388151034093661E-3</v>
      </c>
      <c r="W45" s="3"/>
      <c r="X45" s="7">
        <f t="shared" si="18"/>
        <v>-1825.8495500000008</v>
      </c>
      <c r="Y45" s="3"/>
      <c r="Z45" s="8">
        <f t="shared" si="19"/>
        <v>-0.15956973988745157</v>
      </c>
    </row>
    <row r="46" spans="1:26" s="70" customFormat="1" ht="15" hidden="1" customHeight="1" outlineLevel="2" x14ac:dyDescent="0.3">
      <c r="A46" s="26"/>
      <c r="B46" s="12" t="str">
        <f>CONCATENATE("          ","6113"," - ","GROUP INSURANCE")</f>
        <v xml:space="preserve">          6113 - GROUP INSURANCE</v>
      </c>
      <c r="C46" s="12"/>
      <c r="D46" s="7">
        <v>3834.79</v>
      </c>
      <c r="E46" s="3"/>
      <c r="F46" s="8">
        <f t="shared" si="12"/>
        <v>5.1014511370220776E-3</v>
      </c>
      <c r="G46" s="3"/>
      <c r="H46" s="7">
        <v>8382.1538461538494</v>
      </c>
      <c r="I46" s="3"/>
      <c r="J46" s="8">
        <f t="shared" si="13"/>
        <v>3.2777101990184451E-2</v>
      </c>
      <c r="K46" s="3"/>
      <c r="L46" s="7">
        <f t="shared" si="14"/>
        <v>-4547.3638461538494</v>
      </c>
      <c r="M46" s="3"/>
      <c r="N46" s="8">
        <f t="shared" si="15"/>
        <v>-0.54250541443359535</v>
      </c>
      <c r="O46" s="12"/>
      <c r="P46" s="7">
        <v>45991.61</v>
      </c>
      <c r="Q46" s="3"/>
      <c r="R46" s="8">
        <f t="shared" si="16"/>
        <v>1.1390430739036964E-2</v>
      </c>
      <c r="S46" s="3"/>
      <c r="T46" s="7">
        <v>80166.153846153902</v>
      </c>
      <c r="U46" s="3"/>
      <c r="V46" s="8">
        <f t="shared" si="17"/>
        <v>2.969758056875018E-2</v>
      </c>
      <c r="W46" s="3"/>
      <c r="X46" s="7">
        <f t="shared" si="18"/>
        <v>-34174.543846153902</v>
      </c>
      <c r="Y46" s="3"/>
      <c r="Z46" s="8">
        <f t="shared" si="19"/>
        <v>-0.42629641321870004</v>
      </c>
    </row>
    <row r="47" spans="1:26" s="70" customFormat="1" ht="15" hidden="1" customHeight="1" outlineLevel="2" x14ac:dyDescent="0.3">
      <c r="A47" s="26"/>
      <c r="B47" s="12" t="str">
        <f>CONCATENATE("          ","6114"," - ","STATE UNEMPLOYMENT INSURANCE")</f>
        <v xml:space="preserve">          6114 - STATE UNEMPLOYMENT INSURANCE</v>
      </c>
      <c r="C47" s="12"/>
      <c r="D47" s="7">
        <v>178.13</v>
      </c>
      <c r="E47" s="3"/>
      <c r="F47" s="8">
        <f t="shared" si="12"/>
        <v>2.3696773253235317E-4</v>
      </c>
      <c r="G47" s="3"/>
      <c r="H47" s="7">
        <v>178.734887019231</v>
      </c>
      <c r="I47" s="3"/>
      <c r="J47" s="8">
        <f t="shared" si="13"/>
        <v>6.9891482888035522E-4</v>
      </c>
      <c r="K47" s="3"/>
      <c r="L47" s="7">
        <f t="shared" si="14"/>
        <v>-0.60488701923100052</v>
      </c>
      <c r="M47" s="3"/>
      <c r="N47" s="8">
        <f t="shared" si="15"/>
        <v>-3.3842694580712585E-3</v>
      </c>
      <c r="O47" s="12"/>
      <c r="P47" s="7">
        <v>1690.54</v>
      </c>
      <c r="Q47" s="3"/>
      <c r="R47" s="8">
        <f t="shared" si="16"/>
        <v>4.1868459881207784E-4</v>
      </c>
      <c r="S47" s="3"/>
      <c r="T47" s="7">
        <v>1540.3135932692301</v>
      </c>
      <c r="U47" s="3"/>
      <c r="V47" s="8">
        <f t="shared" si="17"/>
        <v>5.7060972545895281E-4</v>
      </c>
      <c r="W47" s="3"/>
      <c r="X47" s="7">
        <f t="shared" si="18"/>
        <v>150.2264067307699</v>
      </c>
      <c r="Y47" s="3"/>
      <c r="Z47" s="8">
        <f t="shared" si="19"/>
        <v>9.7529754581937231E-2</v>
      </c>
    </row>
    <row r="48" spans="1:26" s="70" customFormat="1" ht="15" hidden="1" customHeight="1" outlineLevel="2" x14ac:dyDescent="0.3">
      <c r="A48" s="26"/>
      <c r="B48" s="12" t="str">
        <f>CONCATENATE("          ","6115"," - ","P.E.R.S.")</f>
        <v xml:space="preserve">          6115 - P.E.R.S.</v>
      </c>
      <c r="C48" s="12"/>
      <c r="D48" s="7">
        <v>1549.91</v>
      </c>
      <c r="E48" s="3"/>
      <c r="F48" s="8">
        <f t="shared" si="12"/>
        <v>2.0618573981318112E-3</v>
      </c>
      <c r="G48" s="3"/>
      <c r="H48" s="7">
        <v>1766.6798076923101</v>
      </c>
      <c r="I48" s="3"/>
      <c r="J48" s="8">
        <f t="shared" si="13"/>
        <v>6.9083251516912627E-3</v>
      </c>
      <c r="K48" s="3"/>
      <c r="L48" s="7">
        <f t="shared" si="14"/>
        <v>-216.76980769231</v>
      </c>
      <c r="M48" s="3"/>
      <c r="N48" s="8">
        <f t="shared" si="15"/>
        <v>-0.12269897847276649</v>
      </c>
      <c r="O48" s="12"/>
      <c r="P48" s="7">
        <v>16134.89</v>
      </c>
      <c r="Q48" s="3"/>
      <c r="R48" s="8">
        <f t="shared" si="16"/>
        <v>3.996018991876564E-3</v>
      </c>
      <c r="S48" s="3"/>
      <c r="T48" s="7">
        <v>15546.7823076923</v>
      </c>
      <c r="U48" s="3"/>
      <c r="V48" s="8">
        <f t="shared" si="17"/>
        <v>5.759311105950766E-3</v>
      </c>
      <c r="W48" s="3"/>
      <c r="X48" s="7">
        <f t="shared" si="18"/>
        <v>588.10769230769984</v>
      </c>
      <c r="Y48" s="3"/>
      <c r="Z48" s="8">
        <f t="shared" si="19"/>
        <v>3.7828258006591724E-2</v>
      </c>
    </row>
    <row r="49" spans="1:26" s="70" customFormat="1" ht="15" hidden="1" customHeight="1" outlineLevel="2" x14ac:dyDescent="0.3">
      <c r="A49" s="26"/>
      <c r="B49" s="12" t="str">
        <f>CONCATENATE("          ","6116"," - ","EDUCATIONAL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70" customFormat="1" ht="15" hidden="1" customHeight="1" outlineLevel="2" x14ac:dyDescent="0.3">
      <c r="A50" s="26"/>
      <c r="B50" s="12" t="str">
        <f>CONCATENATE("          ","6118"," - ","VACATION")</f>
        <v xml:space="preserve">          6118 - VACATION</v>
      </c>
      <c r="C50" s="12"/>
      <c r="D50" s="7">
        <v>1868.55</v>
      </c>
      <c r="E50" s="3"/>
      <c r="F50" s="8">
        <f t="shared" si="12"/>
        <v>2.4857466828907457E-3</v>
      </c>
      <c r="G50" s="3"/>
      <c r="H50" s="7">
        <v>1542.1394230769199</v>
      </c>
      <c r="I50" s="3"/>
      <c r="J50" s="8">
        <f t="shared" si="13"/>
        <v>6.030295086562964E-3</v>
      </c>
      <c r="K50" s="3"/>
      <c r="L50" s="7">
        <f t="shared" si="14"/>
        <v>326.41057692308004</v>
      </c>
      <c r="M50" s="3"/>
      <c r="N50" s="8">
        <f t="shared" si="15"/>
        <v>0.21166087322494906</v>
      </c>
      <c r="O50" s="12"/>
      <c r="P50" s="7">
        <v>20115.580000000002</v>
      </c>
      <c r="Q50" s="3"/>
      <c r="R50" s="8">
        <f t="shared" si="16"/>
        <v>4.9818895395389974E-3</v>
      </c>
      <c r="S50" s="3"/>
      <c r="T50" s="7">
        <v>13570.8269230769</v>
      </c>
      <c r="U50" s="3"/>
      <c r="V50" s="8">
        <f t="shared" si="17"/>
        <v>5.0273177219662245E-3</v>
      </c>
      <c r="W50" s="3"/>
      <c r="X50" s="7">
        <f t="shared" si="18"/>
        <v>6544.7530769231016</v>
      </c>
      <c r="Y50" s="3"/>
      <c r="Z50" s="8">
        <f t="shared" si="19"/>
        <v>0.48226634338648072</v>
      </c>
    </row>
    <row r="51" spans="1:26" s="70" customFormat="1" ht="15" hidden="1" customHeight="1" outlineLevel="2" x14ac:dyDescent="0.3">
      <c r="A51" s="26"/>
      <c r="B51" s="12" t="str">
        <f>CONCATENATE("          ","6119"," - ","SICK LEAVE")</f>
        <v xml:space="preserve">          6119 - SICK LEAVE</v>
      </c>
      <c r="C51" s="12"/>
      <c r="D51" s="7">
        <v>1718.13</v>
      </c>
      <c r="E51" s="3"/>
      <c r="F51" s="8">
        <f t="shared" si="12"/>
        <v>2.2856417801370463E-3</v>
      </c>
      <c r="G51" s="3"/>
      <c r="H51" s="7">
        <v>3457.8272980769202</v>
      </c>
      <c r="I51" s="3"/>
      <c r="J51" s="8">
        <f t="shared" si="13"/>
        <v>1.3521292986708429E-2</v>
      </c>
      <c r="K51" s="3"/>
      <c r="L51" s="7">
        <f t="shared" si="14"/>
        <v>-1739.6972980769201</v>
      </c>
      <c r="M51" s="3"/>
      <c r="N51" s="8">
        <f t="shared" si="15"/>
        <v>-0.50311861990460238</v>
      </c>
      <c r="O51" s="12"/>
      <c r="P51" s="7">
        <v>17556.009999999998</v>
      </c>
      <c r="Q51" s="3"/>
      <c r="R51" s="8">
        <f t="shared" si="16"/>
        <v>4.3479781629484227E-3</v>
      </c>
      <c r="S51" s="3"/>
      <c r="T51" s="7">
        <v>29906.948273076901</v>
      </c>
      <c r="U51" s="3"/>
      <c r="V51" s="8">
        <f t="shared" si="17"/>
        <v>1.1079039760465649E-2</v>
      </c>
      <c r="W51" s="3"/>
      <c r="X51" s="7">
        <f t="shared" si="18"/>
        <v>-12350.938273076903</v>
      </c>
      <c r="Y51" s="3"/>
      <c r="Z51" s="8">
        <f t="shared" si="19"/>
        <v>-0.41297888906289965</v>
      </c>
    </row>
    <row r="52" spans="1:26" s="70" customFormat="1" ht="15" hidden="1" customHeight="1" outlineLevel="2" x14ac:dyDescent="0.3">
      <c r="A52" s="26"/>
      <c r="B52" s="12" t="str">
        <f>CONCATENATE("          ","6156"," - ","EMPLOYEE MEALS")</f>
        <v xml:space="preserve">          6156 - EMPLOYEE MEALS</v>
      </c>
      <c r="C52" s="12"/>
      <c r="D52" s="7">
        <v>765.22</v>
      </c>
      <c r="E52" s="3"/>
      <c r="F52" s="8">
        <f t="shared" si="12"/>
        <v>1.0179781524078332E-3</v>
      </c>
      <c r="G52" s="3"/>
      <c r="H52" s="7">
        <v>875</v>
      </c>
      <c r="I52" s="3"/>
      <c r="J52" s="8">
        <f t="shared" si="13"/>
        <v>3.4215506858742747E-3</v>
      </c>
      <c r="K52" s="3"/>
      <c r="L52" s="7">
        <f t="shared" si="14"/>
        <v>-109.77999999999997</v>
      </c>
      <c r="M52" s="3"/>
      <c r="N52" s="8">
        <f t="shared" si="15"/>
        <v>-0.1254628571428571</v>
      </c>
      <c r="O52" s="12"/>
      <c r="P52" s="7">
        <v>8183.73</v>
      </c>
      <c r="Q52" s="3"/>
      <c r="R52" s="8">
        <f t="shared" si="16"/>
        <v>2.0268090147741937E-3</v>
      </c>
      <c r="S52" s="3"/>
      <c r="T52" s="7">
        <v>8750</v>
      </c>
      <c r="U52" s="3"/>
      <c r="V52" s="8">
        <f t="shared" si="17"/>
        <v>3.2414406518148178E-3</v>
      </c>
      <c r="W52" s="3"/>
      <c r="X52" s="7">
        <f t="shared" si="18"/>
        <v>-566.27000000000044</v>
      </c>
      <c r="Y52" s="3"/>
      <c r="Z52" s="8">
        <f t="shared" si="19"/>
        <v>-6.4716571428571484E-2</v>
      </c>
    </row>
    <row r="53" spans="1:26" s="69" customFormat="1" ht="15" customHeight="1" outlineLevel="1" collapsed="1" x14ac:dyDescent="0.3">
      <c r="A53" s="25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84761.9</v>
      </c>
      <c r="E53" s="2"/>
      <c r="F53" s="6">
        <f t="shared" si="12"/>
        <v>0.11275941867250922</v>
      </c>
      <c r="G53" s="2"/>
      <c r="H53" s="2">
        <f>SUM(OSRRefH22_1x_0)</f>
        <v>81308.532115384602</v>
      </c>
      <c r="I53" s="2"/>
      <c r="J53" s="6">
        <f t="shared" si="13"/>
        <v>0.31794430151637104</v>
      </c>
      <c r="K53" s="2"/>
      <c r="L53" s="2">
        <f t="shared" si="14"/>
        <v>3453.3678846153925</v>
      </c>
      <c r="M53" s="2"/>
      <c r="N53" s="6">
        <f t="shared" si="15"/>
        <v>4.2472392438652473E-2</v>
      </c>
      <c r="O53" s="14"/>
      <c r="P53" s="2">
        <f>SUM(OSRRefP22_1x_0)</f>
        <v>673589.45</v>
      </c>
      <c r="Q53" s="2"/>
      <c r="R53" s="6">
        <f t="shared" si="16"/>
        <v>0.16682333966501717</v>
      </c>
      <c r="S53" s="2"/>
      <c r="T53" s="2">
        <f>SUM(OSRRefT22_1x_0)</f>
        <v>700155.66561538505</v>
      </c>
      <c r="U53" s="2"/>
      <c r="V53" s="6">
        <f t="shared" si="17"/>
        <v>0.25937291852847671</v>
      </c>
      <c r="W53" s="2"/>
      <c r="X53" s="2">
        <f t="shared" si="18"/>
        <v>-26566.215615385096</v>
      </c>
      <c r="Y53" s="2"/>
      <c r="Z53" s="6">
        <f t="shared" si="19"/>
        <v>-3.7943298783471753E-2</v>
      </c>
    </row>
    <row r="54" spans="1:26" s="70" customFormat="1" ht="15" hidden="1" customHeight="1" outlineLevel="2" x14ac:dyDescent="0.3">
      <c r="A54" s="26"/>
      <c r="B54" s="12" t="str">
        <f>CONCATENATE("          ","6001"," - ","ADMINISTRATIVE SALARIES")</f>
        <v xml:space="preserve">          6001 - ADMINISTRATIVE SALARIES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","6002"," - ","STAFF SALARIES")</f>
        <v xml:space="preserve">          6002 - STAFF SALARIES</v>
      </c>
      <c r="C55" s="12"/>
      <c r="D55" s="7">
        <v>14236.38</v>
      </c>
      <c r="E55" s="3"/>
      <c r="F55" s="8">
        <f t="shared" si="12"/>
        <v>1.8938767686908112E-2</v>
      </c>
      <c r="G55" s="3"/>
      <c r="H55" s="7">
        <v>18488.509615384599</v>
      </c>
      <c r="I55" s="3"/>
      <c r="J55" s="8">
        <f t="shared" si="13"/>
        <v>7.2296426006071196E-2</v>
      </c>
      <c r="K55" s="3"/>
      <c r="L55" s="7">
        <f t="shared" si="14"/>
        <v>-4252.1296153845997</v>
      </c>
      <c r="M55" s="3"/>
      <c r="N55" s="8">
        <f t="shared" si="15"/>
        <v>-0.22998768985934548</v>
      </c>
      <c r="O55" s="12"/>
      <c r="P55" s="7">
        <v>157889.51999999999</v>
      </c>
      <c r="Q55" s="3"/>
      <c r="R55" s="8">
        <f t="shared" si="16"/>
        <v>3.9103428690141336E-2</v>
      </c>
      <c r="S55" s="3"/>
      <c r="T55" s="7">
        <v>162698.884615385</v>
      </c>
      <c r="U55" s="3"/>
      <c r="V55" s="8">
        <f t="shared" si="17"/>
        <v>6.0271860411112842E-2</v>
      </c>
      <c r="W55" s="3"/>
      <c r="X55" s="7">
        <f t="shared" si="18"/>
        <v>-4809.3646153850132</v>
      </c>
      <c r="Y55" s="3"/>
      <c r="Z55" s="8">
        <f t="shared" si="19"/>
        <v>-2.955991140783908E-2</v>
      </c>
    </row>
    <row r="56" spans="1:26" s="70" customFormat="1" ht="15" hidden="1" customHeight="1" outlineLevel="2" x14ac:dyDescent="0.3">
      <c r="A56" s="26"/>
      <c r="B56" s="12" t="str">
        <f>CONCATENATE("          ","6003"," - ","STAFF HOURLY-9 MONTH")</f>
        <v xml:space="preserve">          6003 - STAFF HOURLY-9 MONTH</v>
      </c>
      <c r="C56" s="12"/>
      <c r="D56" s="7"/>
      <c r="E56" s="3"/>
      <c r="F56" s="8">
        <f t="shared" si="12"/>
        <v>0</v>
      </c>
      <c r="G56" s="3"/>
      <c r="H56" s="7">
        <v>0</v>
      </c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/>
      <c r="Q56" s="3"/>
      <c r="R56" s="8">
        <f t="shared" si="16"/>
        <v>0</v>
      </c>
      <c r="S56" s="3"/>
      <c r="T56" s="7">
        <v>0</v>
      </c>
      <c r="U56" s="3"/>
      <c r="V56" s="8">
        <f t="shared" si="17"/>
        <v>0</v>
      </c>
      <c r="W56" s="3"/>
      <c r="X56" s="7">
        <f t="shared" si="18"/>
        <v>0</v>
      </c>
      <c r="Y56" s="3"/>
      <c r="Z56" s="8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","6004"," - ","STAFF HOURLY")</f>
        <v xml:space="preserve">          6004 - STAFF HOURLY</v>
      </c>
      <c r="C57" s="12"/>
      <c r="D57" s="7">
        <v>19083.689999999999</v>
      </c>
      <c r="E57" s="3"/>
      <c r="F57" s="8">
        <f t="shared" si="12"/>
        <v>2.5387182100995581E-2</v>
      </c>
      <c r="G57" s="3"/>
      <c r="H57" s="7">
        <v>22931.759999999998</v>
      </c>
      <c r="I57" s="3"/>
      <c r="J57" s="8">
        <f t="shared" si="13"/>
        <v>8.9671061892919138E-2</v>
      </c>
      <c r="K57" s="3"/>
      <c r="L57" s="7">
        <f t="shared" si="14"/>
        <v>-3848.0699999999997</v>
      </c>
      <c r="M57" s="3"/>
      <c r="N57" s="8">
        <f t="shared" si="15"/>
        <v>-0.16780526222147799</v>
      </c>
      <c r="O57" s="12"/>
      <c r="P57" s="7">
        <v>102648.89</v>
      </c>
      <c r="Q57" s="3"/>
      <c r="R57" s="8">
        <f t="shared" si="16"/>
        <v>2.542235577280343E-2</v>
      </c>
      <c r="S57" s="3"/>
      <c r="T57" s="7">
        <v>199097.53599999999</v>
      </c>
      <c r="U57" s="3"/>
      <c r="V57" s="8">
        <f t="shared" si="17"/>
        <v>7.3755753927607332E-2</v>
      </c>
      <c r="W57" s="3"/>
      <c r="X57" s="7">
        <f t="shared" si="18"/>
        <v>-96448.645999999993</v>
      </c>
      <c r="Y57" s="3"/>
      <c r="Z57" s="8">
        <f t="shared" si="19"/>
        <v>-0.48442912924849052</v>
      </c>
    </row>
    <row r="58" spans="1:26" s="70" customFormat="1" ht="15" hidden="1" customHeight="1" outlineLevel="2" x14ac:dyDescent="0.3">
      <c r="A58" s="26"/>
      <c r="B58" s="12" t="str">
        <f>CONCATENATE("          ","6005"," - ","TEMPORARY WAGES-HOURLY")</f>
        <v xml:space="preserve">          6005 - TEMPORARY WAGES-HOURLY</v>
      </c>
      <c r="C58" s="12"/>
      <c r="D58" s="7">
        <v>1371.01</v>
      </c>
      <c r="E58" s="3"/>
      <c r="F58" s="8">
        <f t="shared" si="12"/>
        <v>1.8238653285756557E-3</v>
      </c>
      <c r="G58" s="3"/>
      <c r="H58" s="7">
        <v>0</v>
      </c>
      <c r="I58" s="3"/>
      <c r="J58" s="8">
        <f t="shared" si="13"/>
        <v>0</v>
      </c>
      <c r="K58" s="3"/>
      <c r="L58" s="7">
        <f t="shared" si="14"/>
        <v>1371.01</v>
      </c>
      <c r="M58" s="3"/>
      <c r="N58" s="8">
        <f t="shared" si="15"/>
        <v>0</v>
      </c>
      <c r="O58" s="12"/>
      <c r="P58" s="7">
        <v>30321.59</v>
      </c>
      <c r="Q58" s="3"/>
      <c r="R58" s="8">
        <f t="shared" si="16"/>
        <v>7.5095429534316324E-3</v>
      </c>
      <c r="S58" s="3"/>
      <c r="T58" s="7">
        <v>0</v>
      </c>
      <c r="U58" s="3"/>
      <c r="V58" s="8">
        <f t="shared" si="17"/>
        <v>0</v>
      </c>
      <c r="W58" s="3"/>
      <c r="X58" s="7">
        <f t="shared" si="18"/>
        <v>30321.59</v>
      </c>
      <c r="Y58" s="3"/>
      <c r="Z58" s="8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","6006"," - ","TEMPORARY PART TIME")</f>
        <v xml:space="preserve">          6006 - TEMPORARY PART TIME</v>
      </c>
      <c r="C59" s="12"/>
      <c r="D59" s="7"/>
      <c r="E59" s="3"/>
      <c r="F59" s="8">
        <f t="shared" si="12"/>
        <v>0</v>
      </c>
      <c r="G59" s="3"/>
      <c r="H59" s="7">
        <v>0</v>
      </c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0</v>
      </c>
      <c r="U59" s="3"/>
      <c r="V59" s="8">
        <f t="shared" si="17"/>
        <v>0</v>
      </c>
      <c r="W59" s="3"/>
      <c r="X59" s="7">
        <f t="shared" si="18"/>
        <v>0</v>
      </c>
      <c r="Y59" s="3"/>
      <c r="Z59" s="8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","6007"," - ","STUDENT HOURLY")</f>
        <v xml:space="preserve">          6007 - STUDENT HOURLY</v>
      </c>
      <c r="C60" s="12"/>
      <c r="D60" s="7">
        <v>34780.1</v>
      </c>
      <c r="E60" s="3"/>
      <c r="F60" s="8">
        <f t="shared" si="12"/>
        <v>4.6268239118893488E-2</v>
      </c>
      <c r="G60" s="3"/>
      <c r="H60" s="7">
        <v>36915</v>
      </c>
      <c r="I60" s="3"/>
      <c r="J60" s="8">
        <f t="shared" si="13"/>
        <v>0.14435033550748438</v>
      </c>
      <c r="K60" s="3"/>
      <c r="L60" s="7">
        <f t="shared" si="14"/>
        <v>-2134.9000000000015</v>
      </c>
      <c r="M60" s="3"/>
      <c r="N60" s="8">
        <f t="shared" si="15"/>
        <v>-5.783285927129897E-2</v>
      </c>
      <c r="O60" s="12"/>
      <c r="P60" s="7">
        <v>303075.09999999998</v>
      </c>
      <c r="Q60" s="3"/>
      <c r="R60" s="8">
        <f t="shared" si="16"/>
        <v>7.5060558551368409E-2</v>
      </c>
      <c r="S60" s="3"/>
      <c r="T60" s="7">
        <v>255195.75</v>
      </c>
      <c r="U60" s="3"/>
      <c r="V60" s="8">
        <f t="shared" si="17"/>
        <v>9.4537357510899575E-2</v>
      </c>
      <c r="W60" s="3"/>
      <c r="X60" s="7">
        <f t="shared" si="18"/>
        <v>47879.349999999977</v>
      </c>
      <c r="Y60" s="3"/>
      <c r="Z60" s="8">
        <f t="shared" si="19"/>
        <v>0.18761813235526054</v>
      </c>
    </row>
    <row r="61" spans="1:26" s="70" customFormat="1" ht="15" hidden="1" customHeight="1" outlineLevel="2" x14ac:dyDescent="0.3">
      <c r="A61" s="26"/>
      <c r="B61" s="12" t="str">
        <f>CONCATENATE("          ","6008"," - ","STUDENT HOURLY-FICA EXEMPT")</f>
        <v xml:space="preserve">          6008 - STUDENT HOURLY-FICA EXEMPT</v>
      </c>
      <c r="C61" s="12"/>
      <c r="D61" s="7">
        <v>15290.72</v>
      </c>
      <c r="E61" s="3"/>
      <c r="F61" s="8">
        <f t="shared" si="12"/>
        <v>2.034136443713638E-2</v>
      </c>
      <c r="G61" s="3"/>
      <c r="H61" s="7">
        <v>2973.2624999999998</v>
      </c>
      <c r="I61" s="3"/>
      <c r="J61" s="8">
        <f t="shared" si="13"/>
        <v>1.1626478109896298E-2</v>
      </c>
      <c r="K61" s="3"/>
      <c r="L61" s="7">
        <f t="shared" si="14"/>
        <v>12317.4575</v>
      </c>
      <c r="M61" s="3"/>
      <c r="N61" s="8">
        <f t="shared" si="15"/>
        <v>4.1427413489390865</v>
      </c>
      <c r="O61" s="12"/>
      <c r="P61" s="7">
        <v>79654.350000000006</v>
      </c>
      <c r="Q61" s="3"/>
      <c r="R61" s="8">
        <f t="shared" si="16"/>
        <v>1.9727453697272371E-2</v>
      </c>
      <c r="S61" s="3"/>
      <c r="T61" s="7">
        <v>83163.494999999995</v>
      </c>
      <c r="U61" s="3"/>
      <c r="V61" s="8">
        <f t="shared" si="17"/>
        <v>3.0807946678856953E-2</v>
      </c>
      <c r="W61" s="3"/>
      <c r="X61" s="7">
        <f t="shared" si="18"/>
        <v>-3509.1449999999895</v>
      </c>
      <c r="Y61" s="3"/>
      <c r="Z61" s="8">
        <f t="shared" si="19"/>
        <v>-4.219573744465633E-2</v>
      </c>
    </row>
    <row r="62" spans="1:26" s="70" customFormat="1" ht="15" hidden="1" customHeight="1" outlineLevel="2" x14ac:dyDescent="0.3">
      <c r="A62" s="26"/>
      <c r="B62" s="12" t="str">
        <f>CONCATENATE("          ","6009"," - ","TEMPORARY-SEASONAL")</f>
        <v xml:space="preserve">          6009 - TEMPORARY-SEASONAL</v>
      </c>
      <c r="C62" s="12"/>
      <c r="D62" s="7"/>
      <c r="E62" s="3"/>
      <c r="F62" s="8">
        <f t="shared" si="12"/>
        <v>0</v>
      </c>
      <c r="G62" s="3"/>
      <c r="H62" s="7">
        <v>0</v>
      </c>
      <c r="I62" s="3"/>
      <c r="J62" s="8">
        <f t="shared" si="13"/>
        <v>0</v>
      </c>
      <c r="K62" s="3"/>
      <c r="L62" s="7">
        <f t="shared" si="14"/>
        <v>0</v>
      </c>
      <c r="M62" s="3"/>
      <c r="N62" s="8">
        <f t="shared" si="15"/>
        <v>0</v>
      </c>
      <c r="O62" s="12"/>
      <c r="P62" s="7"/>
      <c r="Q62" s="3"/>
      <c r="R62" s="8">
        <f t="shared" si="16"/>
        <v>0</v>
      </c>
      <c r="S62" s="3"/>
      <c r="T62" s="7">
        <v>0</v>
      </c>
      <c r="U62" s="3"/>
      <c r="V62" s="8">
        <f t="shared" si="17"/>
        <v>0</v>
      </c>
      <c r="W62" s="3"/>
      <c r="X62" s="7">
        <f t="shared" si="18"/>
        <v>0</v>
      </c>
      <c r="Y62" s="3"/>
      <c r="Z62" s="8">
        <f t="shared" si="19"/>
        <v>0</v>
      </c>
    </row>
    <row r="63" spans="1:26" s="70" customFormat="1" ht="15" hidden="1" customHeight="1" outlineLevel="2" x14ac:dyDescent="0.3">
      <c r="A63" s="26"/>
      <c r="B63" s="12" t="str">
        <f>CONCATENATE("          ","6010"," - ","GRATUITY")</f>
        <v xml:space="preserve">          6010 - GRATUITY</v>
      </c>
      <c r="C63" s="12"/>
      <c r="D63" s="7"/>
      <c r="E63" s="3"/>
      <c r="F63" s="8">
        <f t="shared" si="12"/>
        <v>0</v>
      </c>
      <c r="G63" s="3"/>
      <c r="H63" s="7">
        <v>0</v>
      </c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/>
      <c r="Q63" s="3"/>
      <c r="R63" s="8">
        <f t="shared" si="16"/>
        <v>0</v>
      </c>
      <c r="S63" s="3"/>
      <c r="T63" s="7">
        <v>0</v>
      </c>
      <c r="U63" s="3"/>
      <c r="V63" s="8">
        <f t="shared" si="17"/>
        <v>0</v>
      </c>
      <c r="W63" s="3"/>
      <c r="X63" s="7">
        <f t="shared" si="18"/>
        <v>0</v>
      </c>
      <c r="Y63" s="3"/>
      <c r="Z63" s="8">
        <f t="shared" si="19"/>
        <v>0</v>
      </c>
    </row>
    <row r="64" spans="1:26" s="69" customFormat="1" ht="15" customHeight="1" outlineLevel="1" collapsed="1" x14ac:dyDescent="0.3">
      <c r="A64" s="25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2512.85</v>
      </c>
      <c r="E64" s="2"/>
      <c r="F64" s="6">
        <f t="shared" si="12"/>
        <v>3.3428640133269169E-3</v>
      </c>
      <c r="G64" s="2"/>
      <c r="H64" s="2">
        <f>SUM(OSRRefH22_2x_0)</f>
        <v>100</v>
      </c>
      <c r="I64" s="2"/>
      <c r="J64" s="6">
        <f t="shared" si="13"/>
        <v>3.9103436409991711E-4</v>
      </c>
      <c r="K64" s="2"/>
      <c r="L64" s="2">
        <f t="shared" si="14"/>
        <v>2412.85</v>
      </c>
      <c r="M64" s="2"/>
      <c r="N64" s="6">
        <f t="shared" si="15"/>
        <v>24.128499999999999</v>
      </c>
      <c r="O64" s="14"/>
      <c r="P64" s="2">
        <f>SUM(OSRRefP22_2x_0)</f>
        <v>9220.09</v>
      </c>
      <c r="Q64" s="2"/>
      <c r="R64" s="6">
        <f t="shared" si="16"/>
        <v>2.2834772810233716E-3</v>
      </c>
      <c r="S64" s="2"/>
      <c r="T64" s="2">
        <f>SUM(OSRRefT22_2x_0)</f>
        <v>2400</v>
      </c>
      <c r="U64" s="2"/>
      <c r="V64" s="6">
        <f t="shared" si="17"/>
        <v>8.8908086449777859E-4</v>
      </c>
      <c r="W64" s="2"/>
      <c r="X64" s="2">
        <f t="shared" si="18"/>
        <v>6820.09</v>
      </c>
      <c r="Y64" s="2"/>
      <c r="Z64" s="6">
        <f t="shared" si="19"/>
        <v>2.8417041666666667</v>
      </c>
    </row>
    <row r="65" spans="1:26" s="70" customFormat="1" ht="15" hidden="1" customHeight="1" outlineLevel="2" x14ac:dyDescent="0.3">
      <c r="A65" s="26"/>
      <c r="B65" s="12" t="str">
        <f>CONCATENATE("          ","6362"," - ","ADVERTISING EXPENSE")</f>
        <v xml:space="preserve">          6362 - ADVERTISING EXPENSE</v>
      </c>
      <c r="C65" s="12"/>
      <c r="D65" s="7">
        <v>2512.85</v>
      </c>
      <c r="E65" s="3"/>
      <c r="F65" s="8">
        <f t="shared" si="12"/>
        <v>3.3428640133269169E-3</v>
      </c>
      <c r="G65" s="3"/>
      <c r="H65" s="7">
        <v>100</v>
      </c>
      <c r="I65" s="3"/>
      <c r="J65" s="8">
        <f t="shared" si="13"/>
        <v>3.9103436409991711E-4</v>
      </c>
      <c r="K65" s="3"/>
      <c r="L65" s="7">
        <f t="shared" si="14"/>
        <v>2412.85</v>
      </c>
      <c r="M65" s="3"/>
      <c r="N65" s="8">
        <f t="shared" si="15"/>
        <v>24.128499999999999</v>
      </c>
      <c r="O65" s="12"/>
      <c r="P65" s="7">
        <v>9220.09</v>
      </c>
      <c r="Q65" s="3"/>
      <c r="R65" s="8">
        <f t="shared" si="16"/>
        <v>2.2834772810233716E-3</v>
      </c>
      <c r="S65" s="3"/>
      <c r="T65" s="7">
        <v>2400</v>
      </c>
      <c r="U65" s="3"/>
      <c r="V65" s="8">
        <f t="shared" si="17"/>
        <v>8.8908086449777859E-4</v>
      </c>
      <c r="W65" s="3"/>
      <c r="X65" s="7">
        <f t="shared" si="18"/>
        <v>6820.09</v>
      </c>
      <c r="Y65" s="3"/>
      <c r="Z65" s="8">
        <f t="shared" si="19"/>
        <v>2.8417041666666667</v>
      </c>
    </row>
    <row r="66" spans="1:26" s="69" customFormat="1" ht="15" customHeight="1" outlineLevel="1" collapsed="1" x14ac:dyDescent="0.3">
      <c r="A66" s="25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-0.43</v>
      </c>
      <c r="E66" s="2"/>
      <c r="F66" s="6">
        <f t="shared" si="12"/>
        <v>-5.7203236394157005E-7</v>
      </c>
      <c r="G66" s="2"/>
      <c r="H66" s="2">
        <f>SUM(OSRRefH22_3x_0)</f>
        <v>10</v>
      </c>
      <c r="I66" s="2"/>
      <c r="J66" s="6">
        <f t="shared" si="13"/>
        <v>3.910343640999171E-5</v>
      </c>
      <c r="K66" s="2"/>
      <c r="L66" s="2">
        <f t="shared" si="14"/>
        <v>-10.43</v>
      </c>
      <c r="M66" s="2"/>
      <c r="N66" s="6">
        <f t="shared" si="15"/>
        <v>-1.0429999999999999</v>
      </c>
      <c r="O66" s="14"/>
      <c r="P66" s="2">
        <f>SUM(OSRRefP22_3x_0)</f>
        <v>-48.91</v>
      </c>
      <c r="Q66" s="2"/>
      <c r="R66" s="6">
        <f t="shared" si="16"/>
        <v>-1.2113208636233822E-5</v>
      </c>
      <c r="S66" s="2"/>
      <c r="T66" s="2">
        <f>SUM(OSRRefT22_3x_0)</f>
        <v>100</v>
      </c>
      <c r="U66" s="2"/>
      <c r="V66" s="6">
        <f t="shared" si="17"/>
        <v>3.7045036020740774E-5</v>
      </c>
      <c r="W66" s="2"/>
      <c r="X66" s="2">
        <f t="shared" si="18"/>
        <v>-148.91</v>
      </c>
      <c r="Y66" s="2"/>
      <c r="Z66" s="6">
        <f t="shared" si="19"/>
        <v>-1.4890999999999999</v>
      </c>
    </row>
    <row r="67" spans="1:26" s="70" customFormat="1" ht="15" hidden="1" customHeight="1" outlineLevel="2" x14ac:dyDescent="0.3">
      <c r="A67" s="26"/>
      <c r="B67" s="12" t="str">
        <f>CONCATENATE("          ","6272"," - ","CASH (OVER/SHORT)")</f>
        <v xml:space="preserve">          6272 - CASH (OVER/SHORT)</v>
      </c>
      <c r="C67" s="12"/>
      <c r="D67" s="7">
        <v>-0.43</v>
      </c>
      <c r="E67" s="3"/>
      <c r="F67" s="8">
        <f t="shared" si="12"/>
        <v>-5.7203236394157005E-7</v>
      </c>
      <c r="G67" s="3"/>
      <c r="H67" s="7">
        <v>10</v>
      </c>
      <c r="I67" s="3"/>
      <c r="J67" s="8">
        <f t="shared" si="13"/>
        <v>3.910343640999171E-5</v>
      </c>
      <c r="K67" s="3"/>
      <c r="L67" s="7">
        <f t="shared" si="14"/>
        <v>-10.43</v>
      </c>
      <c r="M67" s="3"/>
      <c r="N67" s="8">
        <f t="shared" si="15"/>
        <v>-1.0429999999999999</v>
      </c>
      <c r="O67" s="12"/>
      <c r="P67" s="7">
        <v>-48.91</v>
      </c>
      <c r="Q67" s="3"/>
      <c r="R67" s="8">
        <f t="shared" si="16"/>
        <v>-1.2113208636233822E-5</v>
      </c>
      <c r="S67" s="3"/>
      <c r="T67" s="7">
        <v>100</v>
      </c>
      <c r="U67" s="3"/>
      <c r="V67" s="8">
        <f t="shared" si="17"/>
        <v>3.7045036020740774E-5</v>
      </c>
      <c r="W67" s="3"/>
      <c r="X67" s="7">
        <f t="shared" si="18"/>
        <v>-148.91</v>
      </c>
      <c r="Y67" s="3"/>
      <c r="Z67" s="8">
        <f t="shared" si="19"/>
        <v>-1.4890999999999999</v>
      </c>
    </row>
    <row r="68" spans="1:26" s="69" customFormat="1" ht="15" customHeight="1" outlineLevel="1" collapsed="1" x14ac:dyDescent="0.3">
      <c r="A68" s="25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570.77</v>
      </c>
      <c r="E68" s="2"/>
      <c r="F68" s="6">
        <f t="shared" si="12"/>
        <v>7.5929979620216264E-4</v>
      </c>
      <c r="G68" s="2"/>
      <c r="H68" s="2">
        <f>SUM(OSRRefH22_4x_0)</f>
        <v>1188</v>
      </c>
      <c r="I68" s="2"/>
      <c r="J68" s="6">
        <f t="shared" si="13"/>
        <v>4.6454882455070155E-3</v>
      </c>
      <c r="K68" s="2"/>
      <c r="L68" s="2">
        <f t="shared" si="14"/>
        <v>-617.23</v>
      </c>
      <c r="M68" s="2"/>
      <c r="N68" s="6">
        <f t="shared" si="15"/>
        <v>-0.51955387205387205</v>
      </c>
      <c r="O68" s="14"/>
      <c r="P68" s="2">
        <f>SUM(OSRRefP22_4x_0)</f>
        <v>5345.72</v>
      </c>
      <c r="Q68" s="2"/>
      <c r="R68" s="6">
        <f t="shared" si="16"/>
        <v>1.3239382880983004E-3</v>
      </c>
      <c r="S68" s="2"/>
      <c r="T68" s="2">
        <f>SUM(OSRRefT22_4x_0)</f>
        <v>5816</v>
      </c>
      <c r="U68" s="2"/>
      <c r="V68" s="6">
        <f t="shared" si="17"/>
        <v>2.1545392949662836E-3</v>
      </c>
      <c r="W68" s="2"/>
      <c r="X68" s="2">
        <f t="shared" si="18"/>
        <v>-470.27999999999975</v>
      </c>
      <c r="Y68" s="2"/>
      <c r="Z68" s="6">
        <f t="shared" si="19"/>
        <v>-8.0859697386519908E-2</v>
      </c>
    </row>
    <row r="69" spans="1:26" s="70" customFormat="1" ht="15" hidden="1" customHeight="1" outlineLevel="2" x14ac:dyDescent="0.3">
      <c r="A69" s="26"/>
      <c r="B69" s="12" t="str">
        <f>CONCATENATE("          ","6381"," - ","BANK/CREDIT CARD FEES")</f>
        <v xml:space="preserve">          6381 - BANK/CREDIT CARD FEES</v>
      </c>
      <c r="C69" s="12"/>
      <c r="D69" s="7">
        <v>570.77</v>
      </c>
      <c r="E69" s="3"/>
      <c r="F69" s="8">
        <f t="shared" si="12"/>
        <v>7.5929979620216264E-4</v>
      </c>
      <c r="G69" s="3"/>
      <c r="H69" s="7">
        <v>1188</v>
      </c>
      <c r="I69" s="3"/>
      <c r="J69" s="8">
        <f t="shared" si="13"/>
        <v>4.6454882455070155E-3</v>
      </c>
      <c r="K69" s="3"/>
      <c r="L69" s="7">
        <f t="shared" si="14"/>
        <v>-617.23</v>
      </c>
      <c r="M69" s="3"/>
      <c r="N69" s="8">
        <f t="shared" si="15"/>
        <v>-0.51955387205387205</v>
      </c>
      <c r="O69" s="12"/>
      <c r="P69" s="7">
        <v>5345.72</v>
      </c>
      <c r="Q69" s="3"/>
      <c r="R69" s="8">
        <f t="shared" si="16"/>
        <v>1.3239382880983004E-3</v>
      </c>
      <c r="S69" s="3"/>
      <c r="T69" s="7">
        <v>5816</v>
      </c>
      <c r="U69" s="3"/>
      <c r="V69" s="8">
        <f t="shared" si="17"/>
        <v>2.1545392949662836E-3</v>
      </c>
      <c r="W69" s="3"/>
      <c r="X69" s="7">
        <f t="shared" si="18"/>
        <v>-470.27999999999975</v>
      </c>
      <c r="Y69" s="3"/>
      <c r="Z69" s="8">
        <f t="shared" si="19"/>
        <v>-8.0859697386519908E-2</v>
      </c>
    </row>
    <row r="70" spans="1:26" s="69" customFormat="1" ht="15" customHeight="1" outlineLevel="1" collapsed="1" x14ac:dyDescent="0.3">
      <c r="A70" s="25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","9175"," - ","EARNED DISCOUNTS")</f>
        <v xml:space="preserve">          9175 - EARNED DISCOUNTS</v>
      </c>
      <c r="C71" s="12"/>
      <c r="D71" s="7"/>
      <c r="E71" s="3"/>
      <c r="F71" s="8">
        <f t="shared" si="12"/>
        <v>0</v>
      </c>
      <c r="G71" s="3"/>
      <c r="H71" s="7"/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0</v>
      </c>
      <c r="Q71" s="3"/>
      <c r="R71" s="8">
        <f t="shared" si="16"/>
        <v>0</v>
      </c>
      <c r="S71" s="3"/>
      <c r="T71" s="7"/>
      <c r="U71" s="3"/>
      <c r="V71" s="8">
        <f t="shared" si="17"/>
        <v>0</v>
      </c>
      <c r="W71" s="3"/>
      <c r="X71" s="7">
        <f t="shared" si="18"/>
        <v>0</v>
      </c>
      <c r="Y71" s="3"/>
      <c r="Z71" s="8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0</v>
      </c>
      <c r="E72" s="2"/>
      <c r="F72" s="6">
        <f t="shared" si="12"/>
        <v>0</v>
      </c>
      <c r="G72" s="2"/>
      <c r="H72" s="2">
        <f>SUM(OSRRefH22_6x_0)</f>
        <v>75</v>
      </c>
      <c r="I72" s="2"/>
      <c r="J72" s="6">
        <f t="shared" si="13"/>
        <v>2.9327577307493785E-4</v>
      </c>
      <c r="K72" s="2"/>
      <c r="L72" s="2">
        <f t="shared" si="14"/>
        <v>-75</v>
      </c>
      <c r="M72" s="2"/>
      <c r="N72" s="6">
        <f t="shared" si="15"/>
        <v>-1</v>
      </c>
      <c r="O72" s="14"/>
      <c r="P72" s="2">
        <f>SUM(OSRRefP22_6x_0)</f>
        <v>291.13</v>
      </c>
      <c r="Q72" s="2"/>
      <c r="R72" s="6">
        <f t="shared" si="16"/>
        <v>7.2102196488790687E-5</v>
      </c>
      <c r="S72" s="2"/>
      <c r="T72" s="2">
        <f>SUM(OSRRefT22_6x_0)</f>
        <v>750</v>
      </c>
      <c r="U72" s="2"/>
      <c r="V72" s="6">
        <f t="shared" si="17"/>
        <v>2.7783777015555583E-4</v>
      </c>
      <c r="W72" s="2"/>
      <c r="X72" s="2">
        <f t="shared" si="18"/>
        <v>-458.87</v>
      </c>
      <c r="Y72" s="2"/>
      <c r="Z72" s="6">
        <f t="shared" si="19"/>
        <v>-0.61182666666666663</v>
      </c>
    </row>
    <row r="73" spans="1:26" s="70" customFormat="1" ht="15" hidden="1" customHeight="1" outlineLevel="2" x14ac:dyDescent="0.3">
      <c r="A73" s="26"/>
      <c r="B73" s="12" t="str">
        <f>CONCATENATE("          ","6277"," - ","EMPLOYEE APPRECIATION")</f>
        <v xml:space="preserve">          6277 - EMPLOYEE APPRECIATION</v>
      </c>
      <c r="C73" s="12"/>
      <c r="D73" s="7"/>
      <c r="E73" s="3"/>
      <c r="F73" s="8">
        <f t="shared" si="12"/>
        <v>0</v>
      </c>
      <c r="G73" s="3"/>
      <c r="H73" s="7">
        <v>75</v>
      </c>
      <c r="I73" s="3"/>
      <c r="J73" s="8">
        <f t="shared" si="13"/>
        <v>2.9327577307493785E-4</v>
      </c>
      <c r="K73" s="3"/>
      <c r="L73" s="7">
        <f t="shared" si="14"/>
        <v>-75</v>
      </c>
      <c r="M73" s="3"/>
      <c r="N73" s="8">
        <f t="shared" si="15"/>
        <v>-1</v>
      </c>
      <c r="O73" s="12"/>
      <c r="P73" s="7">
        <v>291.13</v>
      </c>
      <c r="Q73" s="3"/>
      <c r="R73" s="8">
        <f t="shared" si="16"/>
        <v>7.2102196488790687E-5</v>
      </c>
      <c r="S73" s="3"/>
      <c r="T73" s="7">
        <v>750</v>
      </c>
      <c r="U73" s="3"/>
      <c r="V73" s="8">
        <f t="shared" si="17"/>
        <v>2.7783777015555583E-4</v>
      </c>
      <c r="W73" s="3"/>
      <c r="X73" s="7">
        <f t="shared" si="18"/>
        <v>-458.87</v>
      </c>
      <c r="Y73" s="3"/>
      <c r="Z73" s="8">
        <f t="shared" si="19"/>
        <v>-0.61182666666666663</v>
      </c>
    </row>
    <row r="74" spans="1:26" s="69" customFormat="1" ht="15" customHeight="1" outlineLevel="1" collapsed="1" x14ac:dyDescent="0.3">
      <c r="A74" s="25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2.944963481771752E-5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3">
      <c r="A75" s="26"/>
      <c r="B75" s="12" t="str">
        <f>CONCATENATE("          ","6351"," - ","EQUIPMENT RENTAL")</f>
        <v xml:space="preserve">          6351 - EQUIPMENT RENTAL</v>
      </c>
      <c r="C75" s="12"/>
      <c r="D75" s="7"/>
      <c r="E75" s="3"/>
      <c r="F75" s="8">
        <f t="shared" si="20"/>
        <v>0</v>
      </c>
      <c r="G75" s="3"/>
      <c r="H75" s="7"/>
      <c r="I75" s="3"/>
      <c r="J75" s="8">
        <f t="shared" si="21"/>
        <v>0</v>
      </c>
      <c r="K75" s="3"/>
      <c r="L75" s="7">
        <f t="shared" si="22"/>
        <v>0</v>
      </c>
      <c r="M75" s="3"/>
      <c r="N75" s="8">
        <f t="shared" si="23"/>
        <v>0</v>
      </c>
      <c r="O75" s="12"/>
      <c r="P75" s="7">
        <v>118.91</v>
      </c>
      <c r="Q75" s="3"/>
      <c r="R75" s="8">
        <f t="shared" si="24"/>
        <v>2.944963481771752E-5</v>
      </c>
      <c r="S75" s="3"/>
      <c r="T75" s="7"/>
      <c r="U75" s="3"/>
      <c r="V75" s="8">
        <f t="shared" si="25"/>
        <v>0</v>
      </c>
      <c r="W75" s="3"/>
      <c r="X75" s="7">
        <f t="shared" si="26"/>
        <v>118.91</v>
      </c>
      <c r="Y75" s="3"/>
      <c r="Z75" s="8">
        <f t="shared" si="27"/>
        <v>0</v>
      </c>
    </row>
    <row r="76" spans="1:26" s="69" customFormat="1" ht="15" customHeight="1" outlineLevel="1" collapsed="1" x14ac:dyDescent="0.3">
      <c r="A76" s="25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1.9551718204995856E-4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2.3015096408844263E-4</v>
      </c>
      <c r="S76" s="2"/>
      <c r="T76" s="2">
        <f>SUM(OSRRefT22_8x_0)</f>
        <v>500</v>
      </c>
      <c r="U76" s="2"/>
      <c r="V76" s="6">
        <f t="shared" si="25"/>
        <v>1.8522518010370389E-4</v>
      </c>
      <c r="W76" s="2"/>
      <c r="X76" s="2">
        <f t="shared" si="26"/>
        <v>429.28999999999996</v>
      </c>
      <c r="Y76" s="2"/>
      <c r="Z76" s="6">
        <f t="shared" si="27"/>
        <v>0.8585799999999999</v>
      </c>
    </row>
    <row r="77" spans="1:26" s="70" customFormat="1" ht="15" hidden="1" customHeight="1" outlineLevel="2" x14ac:dyDescent="0.3">
      <c r="A77" s="26"/>
      <c r="B77" s="12" t="str">
        <f>CONCATENATE("          ","6305"," - ","FREIGHT OUT")</f>
        <v xml:space="preserve">          6305 - FREIGHT OUT</v>
      </c>
      <c r="C77" s="12"/>
      <c r="D77" s="7"/>
      <c r="E77" s="3"/>
      <c r="F77" s="8">
        <f t="shared" si="20"/>
        <v>0</v>
      </c>
      <c r="G77" s="3"/>
      <c r="H77" s="7">
        <v>50</v>
      </c>
      <c r="I77" s="3"/>
      <c r="J77" s="8">
        <f t="shared" si="21"/>
        <v>1.9551718204995856E-4</v>
      </c>
      <c r="K77" s="3"/>
      <c r="L77" s="7">
        <f t="shared" si="22"/>
        <v>-50</v>
      </c>
      <c r="M77" s="3"/>
      <c r="N77" s="8">
        <f t="shared" si="23"/>
        <v>-1</v>
      </c>
      <c r="O77" s="12"/>
      <c r="P77" s="7">
        <v>893.87</v>
      </c>
      <c r="Q77" s="3"/>
      <c r="R77" s="8">
        <f t="shared" si="24"/>
        <v>2.2137873244061187E-4</v>
      </c>
      <c r="S77" s="3"/>
      <c r="T77" s="7">
        <v>500</v>
      </c>
      <c r="U77" s="3"/>
      <c r="V77" s="8">
        <f t="shared" si="25"/>
        <v>1.8522518010370389E-4</v>
      </c>
      <c r="W77" s="3"/>
      <c r="X77" s="7">
        <f t="shared" si="26"/>
        <v>393.87</v>
      </c>
      <c r="Y77" s="3"/>
      <c r="Z77" s="8">
        <f t="shared" si="27"/>
        <v>0.78774</v>
      </c>
    </row>
    <row r="78" spans="1:26" s="70" customFormat="1" ht="15" hidden="1" customHeight="1" outlineLevel="2" x14ac:dyDescent="0.3">
      <c r="A78" s="26"/>
      <c r="B78" s="12" t="str">
        <f>CONCATENATE("          ","6307"," - ","POSTAGE")</f>
        <v xml:space="preserve">          6307 - POSTAGE</v>
      </c>
      <c r="C78" s="12"/>
      <c r="D78" s="7"/>
      <c r="E78" s="3"/>
      <c r="F78" s="8">
        <f t="shared" si="20"/>
        <v>0</v>
      </c>
      <c r="G78" s="3"/>
      <c r="H78" s="7"/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>
        <v>35.42</v>
      </c>
      <c r="Q78" s="3"/>
      <c r="R78" s="8">
        <f t="shared" si="24"/>
        <v>8.772231647830751E-6</v>
      </c>
      <c r="S78" s="3"/>
      <c r="T78" s="7"/>
      <c r="U78" s="3"/>
      <c r="V78" s="8">
        <f t="shared" si="25"/>
        <v>0</v>
      </c>
      <c r="W78" s="3"/>
      <c r="X78" s="7">
        <f t="shared" si="26"/>
        <v>35.42</v>
      </c>
      <c r="Y78" s="3"/>
      <c r="Z78" s="8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-168.94</v>
      </c>
      <c r="E79" s="2"/>
      <c r="F79" s="6">
        <f t="shared" si="20"/>
        <v>-2.2474220363788102E-4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-168.94</v>
      </c>
      <c r="M79" s="2"/>
      <c r="N79" s="6">
        <f t="shared" si="23"/>
        <v>0</v>
      </c>
      <c r="O79" s="14"/>
      <c r="P79" s="2">
        <f>SUM(OSRRefP22_9x_0)</f>
        <v>2402.36</v>
      </c>
      <c r="Q79" s="2"/>
      <c r="R79" s="6">
        <f t="shared" si="24"/>
        <v>5.9497624001927398E-4</v>
      </c>
      <c r="S79" s="2"/>
      <c r="T79" s="2">
        <f>SUM(OSRRefT22_9x_0)</f>
        <v>1250</v>
      </c>
      <c r="U79" s="2"/>
      <c r="V79" s="6">
        <f t="shared" si="25"/>
        <v>4.6306295025925966E-4</v>
      </c>
      <c r="W79" s="2"/>
      <c r="X79" s="2">
        <f t="shared" si="26"/>
        <v>1152.3600000000001</v>
      </c>
      <c r="Y79" s="2"/>
      <c r="Z79" s="6">
        <f t="shared" si="27"/>
        <v>0.92188800000000015</v>
      </c>
    </row>
    <row r="80" spans="1:26" s="70" customFormat="1" ht="15" hidden="1" customHeight="1" outlineLevel="2" x14ac:dyDescent="0.3">
      <c r="A80" s="26"/>
      <c r="B80" s="12" t="str">
        <f>CONCATENATE("          ","6276"," - ","PROPERTY TAX")</f>
        <v xml:space="preserve">          6276 - PROPERTY TAX</v>
      </c>
      <c r="C80" s="12"/>
      <c r="D80" s="7"/>
      <c r="E80" s="3"/>
      <c r="F80" s="8">
        <f t="shared" si="20"/>
        <v>0</v>
      </c>
      <c r="G80" s="3"/>
      <c r="H80" s="7"/>
      <c r="I80" s="3"/>
      <c r="J80" s="8">
        <f t="shared" si="21"/>
        <v>0</v>
      </c>
      <c r="K80" s="3"/>
      <c r="L80" s="7">
        <f t="shared" si="22"/>
        <v>0</v>
      </c>
      <c r="M80" s="3"/>
      <c r="N80" s="8">
        <f t="shared" si="23"/>
        <v>0</v>
      </c>
      <c r="O80" s="12"/>
      <c r="P80" s="7"/>
      <c r="Q80" s="3"/>
      <c r="R80" s="8">
        <f t="shared" si="24"/>
        <v>0</v>
      </c>
      <c r="S80" s="3"/>
      <c r="T80" s="7">
        <v>1250</v>
      </c>
      <c r="U80" s="3"/>
      <c r="V80" s="8">
        <f t="shared" si="25"/>
        <v>4.6306295025925966E-4</v>
      </c>
      <c r="W80" s="3"/>
      <c r="X80" s="7">
        <f t="shared" si="26"/>
        <v>-1250</v>
      </c>
      <c r="Y80" s="3"/>
      <c r="Z80" s="8">
        <f t="shared" si="27"/>
        <v>-1</v>
      </c>
    </row>
    <row r="81" spans="1:26" s="70" customFormat="1" ht="15" hidden="1" customHeight="1" outlineLevel="2" x14ac:dyDescent="0.3">
      <c r="A81" s="26"/>
      <c r="B81" s="12" t="str">
        <f>CONCATENATE("          ","6279"," - ","GENERAL EXPENSE")</f>
        <v xml:space="preserve">          6279 - GENERAL EXPENSE</v>
      </c>
      <c r="C81" s="12"/>
      <c r="D81" s="7">
        <v>-168.94</v>
      </c>
      <c r="E81" s="3"/>
      <c r="F81" s="8">
        <f t="shared" si="20"/>
        <v>-2.2474220363788102E-4</v>
      </c>
      <c r="G81" s="3"/>
      <c r="H81" s="7">
        <v>0</v>
      </c>
      <c r="I81" s="3"/>
      <c r="J81" s="8">
        <f t="shared" si="21"/>
        <v>0</v>
      </c>
      <c r="K81" s="3"/>
      <c r="L81" s="7">
        <f t="shared" si="22"/>
        <v>-168.94</v>
      </c>
      <c r="M81" s="3"/>
      <c r="N81" s="8">
        <f t="shared" si="23"/>
        <v>0</v>
      </c>
      <c r="O81" s="12"/>
      <c r="P81" s="7">
        <v>2402.36</v>
      </c>
      <c r="Q81" s="3"/>
      <c r="R81" s="8">
        <f t="shared" si="24"/>
        <v>5.9497624001927398E-4</v>
      </c>
      <c r="S81" s="3"/>
      <c r="T81" s="7">
        <v>0</v>
      </c>
      <c r="U81" s="3"/>
      <c r="V81" s="8">
        <f t="shared" si="25"/>
        <v>0</v>
      </c>
      <c r="W81" s="3"/>
      <c r="X81" s="7">
        <f t="shared" si="26"/>
        <v>2402.36</v>
      </c>
      <c r="Y81" s="3"/>
      <c r="Z81" s="8">
        <f t="shared" si="27"/>
        <v>0</v>
      </c>
    </row>
    <row r="82" spans="1:26" s="69" customFormat="1" ht="15" customHeight="1" outlineLevel="1" collapsed="1" x14ac:dyDescent="0.3">
      <c r="A82" s="25"/>
      <c r="B82" s="14" t="str">
        <f>CONCATENATE("     ","Insurance                                         ")</f>
        <v xml:space="preserve">     Insurance                                         </v>
      </c>
      <c r="C82" s="14"/>
      <c r="D82" s="2">
        <f>SUM(OSRRefD22_10x_0)</f>
        <v>219.08</v>
      </c>
      <c r="E82" s="2"/>
      <c r="F82" s="6">
        <f t="shared" si="20"/>
        <v>2.9144383788911438E-4</v>
      </c>
      <c r="G82" s="2"/>
      <c r="H82" s="2">
        <f>SUM(OSRRefH22_10x_0)</f>
        <v>175</v>
      </c>
      <c r="I82" s="2"/>
      <c r="J82" s="6">
        <f t="shared" si="21"/>
        <v>6.8431013717485496E-4</v>
      </c>
      <c r="K82" s="2"/>
      <c r="L82" s="2">
        <f t="shared" si="22"/>
        <v>44.080000000000013</v>
      </c>
      <c r="M82" s="2"/>
      <c r="N82" s="6">
        <f t="shared" si="23"/>
        <v>0.25188571428571438</v>
      </c>
      <c r="O82" s="14"/>
      <c r="P82" s="2">
        <f>SUM(OSRRefP22_10x_0)</f>
        <v>2190.8000000000002</v>
      </c>
      <c r="Q82" s="2"/>
      <c r="R82" s="6">
        <f t="shared" si="24"/>
        <v>5.4258060683420699E-4</v>
      </c>
      <c r="S82" s="2"/>
      <c r="T82" s="2">
        <f>SUM(OSRRefT22_10x_0)</f>
        <v>1750</v>
      </c>
      <c r="U82" s="2"/>
      <c r="V82" s="6">
        <f t="shared" si="25"/>
        <v>6.482881303629636E-4</v>
      </c>
      <c r="W82" s="2"/>
      <c r="X82" s="2">
        <f t="shared" si="26"/>
        <v>440.80000000000018</v>
      </c>
      <c r="Y82" s="2"/>
      <c r="Z82" s="6">
        <f t="shared" si="27"/>
        <v>0.25188571428571438</v>
      </c>
    </row>
    <row r="83" spans="1:26" s="70" customFormat="1" ht="15" hidden="1" customHeight="1" outlineLevel="2" x14ac:dyDescent="0.3">
      <c r="A83" s="26"/>
      <c r="B83" s="12" t="str">
        <f>CONCATENATE("          ","6314"," - ","LIABILITY INSURANCE")</f>
        <v xml:space="preserve">          6314 - LIABILITY INSURANCE</v>
      </c>
      <c r="C83" s="12"/>
      <c r="D83" s="7">
        <v>219.08</v>
      </c>
      <c r="E83" s="3"/>
      <c r="F83" s="8">
        <f t="shared" si="20"/>
        <v>2.9144383788911438E-4</v>
      </c>
      <c r="G83" s="3"/>
      <c r="H83" s="7">
        <v>175</v>
      </c>
      <c r="I83" s="3"/>
      <c r="J83" s="8">
        <f t="shared" si="21"/>
        <v>6.8431013717485496E-4</v>
      </c>
      <c r="K83" s="3"/>
      <c r="L83" s="7">
        <f t="shared" si="22"/>
        <v>44.080000000000013</v>
      </c>
      <c r="M83" s="3"/>
      <c r="N83" s="8">
        <f t="shared" si="23"/>
        <v>0.25188571428571438</v>
      </c>
      <c r="O83" s="12"/>
      <c r="P83" s="7">
        <v>2190.8000000000002</v>
      </c>
      <c r="Q83" s="3"/>
      <c r="R83" s="8">
        <f t="shared" si="24"/>
        <v>5.4258060683420699E-4</v>
      </c>
      <c r="S83" s="3"/>
      <c r="T83" s="7">
        <v>1750</v>
      </c>
      <c r="U83" s="3"/>
      <c r="V83" s="8">
        <f t="shared" si="25"/>
        <v>6.482881303629636E-4</v>
      </c>
      <c r="W83" s="3"/>
      <c r="X83" s="7">
        <f t="shared" si="26"/>
        <v>440.80000000000018</v>
      </c>
      <c r="Y83" s="3"/>
      <c r="Z83" s="8">
        <f t="shared" si="27"/>
        <v>0.25188571428571438</v>
      </c>
    </row>
    <row r="84" spans="1:26" s="69" customFormat="1" ht="15" customHeight="1" outlineLevel="1" collapsed="1" x14ac:dyDescent="0.3">
      <c r="A84" s="25"/>
      <c r="B84" s="14" t="str">
        <f>CONCATENATE("     ","Inventory Adjustment                              ")</f>
        <v xml:space="preserve">     Inventory Adjustment                              </v>
      </c>
      <c r="C84" s="14"/>
      <c r="D84" s="2">
        <f>SUM(OSRRefD22_11x_0)</f>
        <v>3450</v>
      </c>
      <c r="E84" s="2"/>
      <c r="F84" s="6">
        <f t="shared" si="20"/>
        <v>4.5895619897637595E-3</v>
      </c>
      <c r="G84" s="2"/>
      <c r="H84" s="2">
        <f>SUM(OSRRefH22_11x_0)</f>
        <v>3450</v>
      </c>
      <c r="I84" s="2"/>
      <c r="J84" s="6">
        <f t="shared" si="21"/>
        <v>1.3490685561447139E-2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SUM(OSRRefP22_11x_0)</f>
        <v>34500</v>
      </c>
      <c r="Q84" s="2"/>
      <c r="R84" s="6">
        <f t="shared" si="24"/>
        <v>8.5443814751598214E-3</v>
      </c>
      <c r="S84" s="2"/>
      <c r="T84" s="2">
        <f>SUM(OSRRefT22_11x_0)</f>
        <v>34500</v>
      </c>
      <c r="U84" s="2"/>
      <c r="V84" s="6">
        <f t="shared" si="25"/>
        <v>1.2780537427155568E-2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","6408"," - ","INVENTORY ADJUSTMENT")</f>
        <v xml:space="preserve">          6408 - INVENTORY ADJUSTMENT</v>
      </c>
      <c r="C85" s="12"/>
      <c r="D85" s="7">
        <v>3450</v>
      </c>
      <c r="E85" s="3"/>
      <c r="F85" s="8">
        <f t="shared" si="20"/>
        <v>4.5895619897637595E-3</v>
      </c>
      <c r="G85" s="3"/>
      <c r="H85" s="7">
        <v>3450</v>
      </c>
      <c r="I85" s="3"/>
      <c r="J85" s="8">
        <f t="shared" si="21"/>
        <v>1.3490685561447139E-2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>
        <v>34500</v>
      </c>
      <c r="Q85" s="3"/>
      <c r="R85" s="8">
        <f t="shared" si="24"/>
        <v>8.5443814751598214E-3</v>
      </c>
      <c r="S85" s="3"/>
      <c r="T85" s="7">
        <v>34500</v>
      </c>
      <c r="U85" s="3"/>
      <c r="V85" s="8">
        <f t="shared" si="25"/>
        <v>1.2780537427155568E-2</v>
      </c>
      <c r="W85" s="3"/>
      <c r="X85" s="7">
        <f t="shared" si="26"/>
        <v>0</v>
      </c>
      <c r="Y85" s="3"/>
      <c r="Z85" s="8">
        <f t="shared" si="27"/>
        <v>0</v>
      </c>
    </row>
    <row r="86" spans="1:26" s="69" customFormat="1" ht="15" customHeight="1" outlineLevel="1" collapsed="1" x14ac:dyDescent="0.3">
      <c r="A86" s="25"/>
      <c r="B86" s="14" t="str">
        <f>CONCATENATE("     ","Professional Services                             ")</f>
        <v xml:space="preserve">     Professional Services                             </v>
      </c>
      <c r="C86" s="14"/>
      <c r="D86" s="2">
        <f>SUM(OSRRefD22_12x_0)</f>
        <v>0</v>
      </c>
      <c r="E86" s="2"/>
      <c r="F86" s="6">
        <f t="shared" si="20"/>
        <v>0</v>
      </c>
      <c r="G86" s="2"/>
      <c r="H86" s="2">
        <f>SUM(OSRRefH22_12x_0)</f>
        <v>250</v>
      </c>
      <c r="I86" s="2"/>
      <c r="J86" s="6">
        <f t="shared" si="21"/>
        <v>9.7758591024979286E-4</v>
      </c>
      <c r="K86" s="2"/>
      <c r="L86" s="2">
        <f t="shared" si="22"/>
        <v>-250</v>
      </c>
      <c r="M86" s="2"/>
      <c r="N86" s="6">
        <f t="shared" si="23"/>
        <v>-1</v>
      </c>
      <c r="O86" s="14"/>
      <c r="P86" s="2">
        <f>SUM(OSRRefP22_12x_0)</f>
        <v>2109.1</v>
      </c>
      <c r="Q86" s="2"/>
      <c r="R86" s="6">
        <f t="shared" si="24"/>
        <v>5.2234652084810372E-4</v>
      </c>
      <c r="S86" s="2"/>
      <c r="T86" s="2">
        <f>SUM(OSRRefT22_12x_0)</f>
        <v>1750</v>
      </c>
      <c r="U86" s="2"/>
      <c r="V86" s="6">
        <f t="shared" si="25"/>
        <v>6.482881303629636E-4</v>
      </c>
      <c r="W86" s="2"/>
      <c r="X86" s="2">
        <f t="shared" si="26"/>
        <v>359.09999999999991</v>
      </c>
      <c r="Y86" s="2"/>
      <c r="Z86" s="6">
        <f t="shared" si="27"/>
        <v>0.20519999999999994</v>
      </c>
    </row>
    <row r="87" spans="1:26" s="70" customFormat="1" ht="15" hidden="1" customHeight="1" outlineLevel="2" x14ac:dyDescent="0.3">
      <c r="A87" s="26"/>
      <c r="B87" s="12" t="str">
        <f>CONCATENATE("          ","6336"," - ","PROFESSIONAL SERVICES")</f>
        <v xml:space="preserve">          6336 - PROFESSIONAL SERVICES</v>
      </c>
      <c r="C87" s="12"/>
      <c r="D87" s="7"/>
      <c r="E87" s="3"/>
      <c r="F87" s="8">
        <f t="shared" si="20"/>
        <v>0</v>
      </c>
      <c r="G87" s="3"/>
      <c r="H87" s="7">
        <v>250</v>
      </c>
      <c r="I87" s="3"/>
      <c r="J87" s="8">
        <f t="shared" si="21"/>
        <v>9.7758591024979286E-4</v>
      </c>
      <c r="K87" s="3"/>
      <c r="L87" s="7">
        <f t="shared" si="22"/>
        <v>-250</v>
      </c>
      <c r="M87" s="3"/>
      <c r="N87" s="8">
        <f t="shared" si="23"/>
        <v>-1</v>
      </c>
      <c r="O87" s="12"/>
      <c r="P87" s="7">
        <v>2109.1</v>
      </c>
      <c r="Q87" s="3"/>
      <c r="R87" s="8">
        <f t="shared" si="24"/>
        <v>5.2234652084810372E-4</v>
      </c>
      <c r="S87" s="3"/>
      <c r="T87" s="7">
        <v>1750</v>
      </c>
      <c r="U87" s="3"/>
      <c r="V87" s="8">
        <f t="shared" si="25"/>
        <v>6.482881303629636E-4</v>
      </c>
      <c r="W87" s="3"/>
      <c r="X87" s="7">
        <f t="shared" si="26"/>
        <v>359.09999999999991</v>
      </c>
      <c r="Y87" s="3"/>
      <c r="Z87" s="8">
        <f t="shared" si="27"/>
        <v>0.20519999999999994</v>
      </c>
    </row>
    <row r="88" spans="1:26" s="69" customFormat="1" ht="15" customHeight="1" outlineLevel="1" collapsed="1" x14ac:dyDescent="0.3">
      <c r="A88" s="25"/>
      <c r="B88" s="14" t="str">
        <f>CONCATENATE("     ","Rent                                              ")</f>
        <v xml:space="preserve">     Rent                                              </v>
      </c>
      <c r="C88" s="14"/>
      <c r="D88" s="2">
        <f>SUM(OSRRefD22_13x_0)</f>
        <v>6900</v>
      </c>
      <c r="E88" s="2"/>
      <c r="F88" s="6">
        <f t="shared" si="20"/>
        <v>9.179123979527519E-3</v>
      </c>
      <c r="G88" s="2"/>
      <c r="H88" s="2">
        <f>SUM(OSRRefH22_13x_0)</f>
        <v>6900</v>
      </c>
      <c r="I88" s="2"/>
      <c r="J88" s="6">
        <f t="shared" si="21"/>
        <v>2.6981371122894279E-2</v>
      </c>
      <c r="K88" s="2"/>
      <c r="L88" s="2">
        <f t="shared" si="22"/>
        <v>0</v>
      </c>
      <c r="M88" s="2"/>
      <c r="N88" s="6">
        <f t="shared" si="23"/>
        <v>0</v>
      </c>
      <c r="O88" s="14"/>
      <c r="P88" s="2">
        <f>SUM(OSRRefP22_13x_0)</f>
        <v>69000</v>
      </c>
      <c r="Q88" s="2"/>
      <c r="R88" s="6">
        <f t="shared" si="24"/>
        <v>1.7088762950319643E-2</v>
      </c>
      <c r="S88" s="2"/>
      <c r="T88" s="2">
        <f>SUM(OSRRefT22_13x_0)</f>
        <v>69000</v>
      </c>
      <c r="U88" s="2"/>
      <c r="V88" s="6">
        <f t="shared" si="25"/>
        <v>2.5561074854311135E-2</v>
      </c>
      <c r="W88" s="2"/>
      <c r="X88" s="2">
        <f t="shared" si="26"/>
        <v>0</v>
      </c>
      <c r="Y88" s="2"/>
      <c r="Z88" s="6">
        <f t="shared" si="27"/>
        <v>0</v>
      </c>
    </row>
    <row r="89" spans="1:26" s="70" customFormat="1" ht="15" hidden="1" customHeight="1" outlineLevel="2" x14ac:dyDescent="0.3">
      <c r="A89" s="26"/>
      <c r="B89" s="12" t="str">
        <f>CONCATENATE("          ","6273"," - ","RENT")</f>
        <v xml:space="preserve">          6273 - RENT</v>
      </c>
      <c r="C89" s="12"/>
      <c r="D89" s="7">
        <v>6900</v>
      </c>
      <c r="E89" s="3"/>
      <c r="F89" s="8">
        <f t="shared" si="20"/>
        <v>9.179123979527519E-3</v>
      </c>
      <c r="G89" s="3"/>
      <c r="H89" s="7">
        <v>6900</v>
      </c>
      <c r="I89" s="3"/>
      <c r="J89" s="8">
        <f t="shared" si="21"/>
        <v>2.6981371122894279E-2</v>
      </c>
      <c r="K89" s="3"/>
      <c r="L89" s="7">
        <f t="shared" si="22"/>
        <v>0</v>
      </c>
      <c r="M89" s="3"/>
      <c r="N89" s="8">
        <f t="shared" si="23"/>
        <v>0</v>
      </c>
      <c r="O89" s="12"/>
      <c r="P89" s="7">
        <v>69000</v>
      </c>
      <c r="Q89" s="3"/>
      <c r="R89" s="8">
        <f t="shared" si="24"/>
        <v>1.7088762950319643E-2</v>
      </c>
      <c r="S89" s="3"/>
      <c r="T89" s="7">
        <v>69000</v>
      </c>
      <c r="U89" s="3"/>
      <c r="V89" s="8">
        <f t="shared" si="25"/>
        <v>2.5561074854311135E-2</v>
      </c>
      <c r="W89" s="3"/>
      <c r="X89" s="7">
        <f t="shared" si="26"/>
        <v>0</v>
      </c>
      <c r="Y89" s="3"/>
      <c r="Z89" s="8">
        <f t="shared" si="27"/>
        <v>0</v>
      </c>
    </row>
    <row r="90" spans="1:26" s="69" customFormat="1" ht="15" customHeight="1" outlineLevel="1" collapsed="1" x14ac:dyDescent="0.3">
      <c r="A90" s="25"/>
      <c r="B90" s="14" t="str">
        <f>CONCATENATE("     ","Repair and Maintenance                            ")</f>
        <v xml:space="preserve">     Repair and Maintenance                            </v>
      </c>
      <c r="C90" s="14"/>
      <c r="D90" s="2">
        <f>SUM(OSRRefD22_14x_0)</f>
        <v>2154.4699999999998</v>
      </c>
      <c r="E90" s="2"/>
      <c r="F90" s="6">
        <f t="shared" si="20"/>
        <v>2.8661082956771959E-3</v>
      </c>
      <c r="G90" s="2"/>
      <c r="H90" s="2">
        <f>SUM(OSRRefH22_14x_0)</f>
        <v>115</v>
      </c>
      <c r="I90" s="2"/>
      <c r="J90" s="6">
        <f t="shared" si="21"/>
        <v>4.4968951871490466E-4</v>
      </c>
      <c r="K90" s="2"/>
      <c r="L90" s="2">
        <f t="shared" si="22"/>
        <v>2039.4699999999998</v>
      </c>
      <c r="M90" s="2"/>
      <c r="N90" s="6">
        <f t="shared" si="23"/>
        <v>17.734521739130432</v>
      </c>
      <c r="O90" s="14"/>
      <c r="P90" s="2">
        <f>SUM(OSRRefP22_14x_0)</f>
        <v>5378.62</v>
      </c>
      <c r="Q90" s="2"/>
      <c r="R90" s="6">
        <f t="shared" si="24"/>
        <v>1.3320864084035977E-3</v>
      </c>
      <c r="S90" s="2"/>
      <c r="T90" s="2">
        <f>SUM(OSRRefT22_14x_0)</f>
        <v>1650</v>
      </c>
      <c r="U90" s="2"/>
      <c r="V90" s="6">
        <f t="shared" si="25"/>
        <v>6.1124309434222276E-4</v>
      </c>
      <c r="W90" s="2"/>
      <c r="X90" s="2">
        <f t="shared" si="26"/>
        <v>3728.62</v>
      </c>
      <c r="Y90" s="2"/>
      <c r="Z90" s="6">
        <f t="shared" si="27"/>
        <v>2.259769696969697</v>
      </c>
    </row>
    <row r="91" spans="1:26" s="70" customFormat="1" ht="15" hidden="1" customHeight="1" outlineLevel="2" x14ac:dyDescent="0.3">
      <c r="A91" s="26"/>
      <c r="B91" s="12" t="str">
        <f>CONCATENATE("          ","6373"," - ","MAINTENANCE CONTRACTS")</f>
        <v xml:space="preserve">          6373 - MAINTENANCE CONTRACTS</v>
      </c>
      <c r="C91" s="12"/>
      <c r="D91" s="7"/>
      <c r="E91" s="3"/>
      <c r="F91" s="8">
        <f t="shared" si="20"/>
        <v>0</v>
      </c>
      <c r="G91" s="3"/>
      <c r="H91" s="7">
        <v>115</v>
      </c>
      <c r="I91" s="3"/>
      <c r="J91" s="8">
        <f t="shared" si="21"/>
        <v>4.4968951871490466E-4</v>
      </c>
      <c r="K91" s="3"/>
      <c r="L91" s="7">
        <f t="shared" si="22"/>
        <v>-115</v>
      </c>
      <c r="M91" s="3"/>
      <c r="N91" s="8">
        <f t="shared" si="23"/>
        <v>-1</v>
      </c>
      <c r="O91" s="12"/>
      <c r="P91" s="7">
        <v>714.5</v>
      </c>
      <c r="Q91" s="3"/>
      <c r="R91" s="8">
        <f t="shared" si="24"/>
        <v>1.7695537866671573E-4</v>
      </c>
      <c r="S91" s="3"/>
      <c r="T91" s="7">
        <v>1150</v>
      </c>
      <c r="U91" s="3"/>
      <c r="V91" s="8">
        <f t="shared" si="25"/>
        <v>4.2601791423851893E-4</v>
      </c>
      <c r="W91" s="3"/>
      <c r="X91" s="7">
        <f t="shared" si="26"/>
        <v>-435.5</v>
      </c>
      <c r="Y91" s="3"/>
      <c r="Z91" s="8">
        <f t="shared" si="27"/>
        <v>-0.37869565217391304</v>
      </c>
    </row>
    <row r="92" spans="1:26" s="70" customFormat="1" ht="15" hidden="1" customHeight="1" outlineLevel="2" x14ac:dyDescent="0.3">
      <c r="A92" s="26"/>
      <c r="B92" s="12" t="str">
        <f>CONCATENATE("          ","6375"," - ","OUTSIDE REPAIRS &amp; MAINTENANCE")</f>
        <v xml:space="preserve">          6375 - OUTSIDE REPAIRS &amp; MAINTENANCE</v>
      </c>
      <c r="C92" s="12"/>
      <c r="D92" s="7">
        <v>2154.4699999999998</v>
      </c>
      <c r="E92" s="3"/>
      <c r="F92" s="8">
        <f t="shared" si="20"/>
        <v>2.8661082956771959E-3</v>
      </c>
      <c r="G92" s="3"/>
      <c r="H92" s="7">
        <v>0</v>
      </c>
      <c r="I92" s="3"/>
      <c r="J92" s="8">
        <f t="shared" si="21"/>
        <v>0</v>
      </c>
      <c r="K92" s="3"/>
      <c r="L92" s="7">
        <f t="shared" si="22"/>
        <v>2154.4699999999998</v>
      </c>
      <c r="M92" s="3"/>
      <c r="N92" s="8">
        <f t="shared" si="23"/>
        <v>0</v>
      </c>
      <c r="O92" s="12"/>
      <c r="P92" s="7">
        <v>4664.12</v>
      </c>
      <c r="Q92" s="3"/>
      <c r="R92" s="8">
        <f t="shared" si="24"/>
        <v>1.155131029736882E-3</v>
      </c>
      <c r="S92" s="3"/>
      <c r="T92" s="7">
        <v>500</v>
      </c>
      <c r="U92" s="3"/>
      <c r="V92" s="8">
        <f t="shared" si="25"/>
        <v>1.8522518010370389E-4</v>
      </c>
      <c r="W92" s="3"/>
      <c r="X92" s="7">
        <f t="shared" si="26"/>
        <v>4164.12</v>
      </c>
      <c r="Y92" s="3"/>
      <c r="Z92" s="8">
        <f t="shared" si="27"/>
        <v>8.3282399999999992</v>
      </c>
    </row>
    <row r="93" spans="1:26" s="69" customFormat="1" ht="15" customHeight="1" outlineLevel="1" collapsed="1" x14ac:dyDescent="0.3">
      <c r="A93" s="25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2">
        <f>SUM(OSRRefD22_15x_0)</f>
        <v>26841.57</v>
      </c>
      <c r="E93" s="2"/>
      <c r="F93" s="6">
        <f t="shared" si="20"/>
        <v>3.5707550555821227E-2</v>
      </c>
      <c r="G93" s="2"/>
      <c r="H93" s="2">
        <f>SUM(OSRRefH22_15x_0)</f>
        <v>16503</v>
      </c>
      <c r="I93" s="2"/>
      <c r="J93" s="6">
        <f t="shared" si="21"/>
        <v>6.4532401107409321E-2</v>
      </c>
      <c r="K93" s="2"/>
      <c r="L93" s="2">
        <f t="shared" si="22"/>
        <v>10338.57</v>
      </c>
      <c r="M93" s="2"/>
      <c r="N93" s="6">
        <f t="shared" si="23"/>
        <v>0.6264660970732594</v>
      </c>
      <c r="O93" s="14"/>
      <c r="P93" s="2">
        <f>SUM(OSRRefP22_15x_0)</f>
        <v>69571.88</v>
      </c>
      <c r="Q93" s="2"/>
      <c r="R93" s="6">
        <f t="shared" si="24"/>
        <v>1.7230396598957743E-2</v>
      </c>
      <c r="S93" s="2"/>
      <c r="T93" s="2">
        <f>SUM(OSRRefT22_15x_0)</f>
        <v>55532</v>
      </c>
      <c r="U93" s="2"/>
      <c r="V93" s="6">
        <f t="shared" si="25"/>
        <v>2.0571849403037766E-2</v>
      </c>
      <c r="W93" s="2"/>
      <c r="X93" s="2">
        <f t="shared" si="26"/>
        <v>14039.880000000005</v>
      </c>
      <c r="Y93" s="2"/>
      <c r="Z93" s="6">
        <f t="shared" si="27"/>
        <v>0.2528250378160341</v>
      </c>
    </row>
    <row r="94" spans="1:26" s="70" customFormat="1" ht="15" hidden="1" customHeight="1" outlineLevel="2" x14ac:dyDescent="0.3">
      <c r="A94" s="26"/>
      <c r="B94" s="12" t="str">
        <f>CONCATENATE("          ","6252"," - ","ROYALTY DUE CSTV")</f>
        <v xml:space="preserve">          6252 - ROYALTY DUE CSTV</v>
      </c>
      <c r="C94" s="12"/>
      <c r="D94" s="7"/>
      <c r="E94" s="3"/>
      <c r="F94" s="8">
        <f t="shared" si="20"/>
        <v>0</v>
      </c>
      <c r="G94" s="3"/>
      <c r="H94" s="7">
        <v>948</v>
      </c>
      <c r="I94" s="3"/>
      <c r="J94" s="8">
        <f t="shared" si="21"/>
        <v>3.7070057716672143E-3</v>
      </c>
      <c r="K94" s="3"/>
      <c r="L94" s="7">
        <f t="shared" si="22"/>
        <v>-948</v>
      </c>
      <c r="M94" s="3"/>
      <c r="N94" s="8">
        <f t="shared" si="23"/>
        <v>-1</v>
      </c>
      <c r="O94" s="12"/>
      <c r="P94" s="7"/>
      <c r="Q94" s="3"/>
      <c r="R94" s="8">
        <f t="shared" si="24"/>
        <v>0</v>
      </c>
      <c r="S94" s="3"/>
      <c r="T94" s="7">
        <v>13530</v>
      </c>
      <c r="U94" s="3"/>
      <c r="V94" s="8">
        <f t="shared" si="25"/>
        <v>5.0121933736062265E-3</v>
      </c>
      <c r="W94" s="3"/>
      <c r="X94" s="7">
        <f t="shared" si="26"/>
        <v>-13530</v>
      </c>
      <c r="Y94" s="3"/>
      <c r="Z94" s="8">
        <f t="shared" si="27"/>
        <v>-1</v>
      </c>
    </row>
    <row r="95" spans="1:26" s="70" customFormat="1" ht="15" hidden="1" customHeight="1" outlineLevel="2" x14ac:dyDescent="0.3">
      <c r="A95" s="26"/>
      <c r="B95" s="12" t="str">
        <f>CONCATENATE("          ","6253"," - ","ROYALTY DUE ATHLETICS-LRG")</f>
        <v xml:space="preserve">          6253 - ROYALTY DUE ATHLETICS-LRG</v>
      </c>
      <c r="C95" s="12"/>
      <c r="D95" s="7">
        <v>15944.33</v>
      </c>
      <c r="E95" s="3"/>
      <c r="F95" s="8">
        <f t="shared" si="20"/>
        <v>2.1210866933405799E-2</v>
      </c>
      <c r="G95" s="3"/>
      <c r="H95" s="7">
        <v>14555</v>
      </c>
      <c r="I95" s="3"/>
      <c r="J95" s="8">
        <f t="shared" si="21"/>
        <v>5.6915051694742931E-2</v>
      </c>
      <c r="K95" s="3"/>
      <c r="L95" s="7">
        <f t="shared" si="22"/>
        <v>1389.33</v>
      </c>
      <c r="M95" s="3"/>
      <c r="N95" s="8">
        <f t="shared" si="23"/>
        <v>9.5453795946410167E-2</v>
      </c>
      <c r="O95" s="12"/>
      <c r="P95" s="7">
        <v>55165.49</v>
      </c>
      <c r="Q95" s="3"/>
      <c r="R95" s="8">
        <f t="shared" si="24"/>
        <v>1.3662463502148243E-2</v>
      </c>
      <c r="S95" s="3"/>
      <c r="T95" s="7">
        <v>38502</v>
      </c>
      <c r="U95" s="3"/>
      <c r="V95" s="8">
        <f t="shared" si="25"/>
        <v>1.4263079768705613E-2</v>
      </c>
      <c r="W95" s="3"/>
      <c r="X95" s="7">
        <f t="shared" si="26"/>
        <v>16663.489999999998</v>
      </c>
      <c r="Y95" s="3"/>
      <c r="Z95" s="8">
        <f t="shared" si="27"/>
        <v>0.4327954391979637</v>
      </c>
    </row>
    <row r="96" spans="1:26" s="70" customFormat="1" ht="15" hidden="1" customHeight="1" outlineLevel="2" x14ac:dyDescent="0.3">
      <c r="A96" s="26"/>
      <c r="B96" s="12" t="str">
        <f>CONCATENATE("          ","6254"," - ","ROYALTY &amp; COMMISSIONS")</f>
        <v xml:space="preserve">          6254 - ROYALTY &amp; COMMISSIONS</v>
      </c>
      <c r="C96" s="12"/>
      <c r="D96" s="7">
        <v>10897.24</v>
      </c>
      <c r="E96" s="3"/>
      <c r="F96" s="8">
        <f t="shared" si="20"/>
        <v>1.449668362241543E-2</v>
      </c>
      <c r="G96" s="3"/>
      <c r="H96" s="7">
        <v>1000</v>
      </c>
      <c r="I96" s="3"/>
      <c r="J96" s="8">
        <f t="shared" si="21"/>
        <v>3.9103436409991714E-3</v>
      </c>
      <c r="K96" s="3"/>
      <c r="L96" s="7">
        <f t="shared" si="22"/>
        <v>9897.24</v>
      </c>
      <c r="M96" s="3"/>
      <c r="N96" s="8">
        <f t="shared" si="23"/>
        <v>9.89724</v>
      </c>
      <c r="O96" s="12"/>
      <c r="P96" s="7">
        <v>14406.39</v>
      </c>
      <c r="Q96" s="3"/>
      <c r="R96" s="8">
        <f t="shared" si="24"/>
        <v>3.5679330968094985E-3</v>
      </c>
      <c r="S96" s="3"/>
      <c r="T96" s="7">
        <v>3500</v>
      </c>
      <c r="U96" s="3"/>
      <c r="V96" s="8">
        <f t="shared" si="25"/>
        <v>1.2965762607259272E-3</v>
      </c>
      <c r="W96" s="3"/>
      <c r="X96" s="7">
        <f t="shared" si="26"/>
        <v>10906.39</v>
      </c>
      <c r="Y96" s="3"/>
      <c r="Z96" s="8">
        <f t="shared" si="27"/>
        <v>3.1161114285714282</v>
      </c>
    </row>
    <row r="97" spans="1:26" s="69" customFormat="1" ht="15" customHeight="1" outlineLevel="1" collapsed="1" x14ac:dyDescent="0.3">
      <c r="A97" s="25"/>
      <c r="B97" s="14" t="str">
        <f>CONCATENATE("     ","Services                                          ")</f>
        <v xml:space="preserve">     Services                                          </v>
      </c>
      <c r="C97" s="14"/>
      <c r="D97" s="2">
        <f>SUM(OSRRefD22_16x_0)</f>
        <v>73.75</v>
      </c>
      <c r="E97" s="2"/>
      <c r="F97" s="6">
        <f t="shared" si="20"/>
        <v>9.8110201955094867E-5</v>
      </c>
      <c r="G97" s="2"/>
      <c r="H97" s="2">
        <f>SUM(OSRRefH22_16x_0)</f>
        <v>60</v>
      </c>
      <c r="I97" s="2"/>
      <c r="J97" s="6">
        <f t="shared" si="21"/>
        <v>2.3462061845995027E-4</v>
      </c>
      <c r="K97" s="2"/>
      <c r="L97" s="2">
        <f t="shared" si="22"/>
        <v>13.75</v>
      </c>
      <c r="M97" s="2"/>
      <c r="N97" s="6">
        <f t="shared" si="23"/>
        <v>0.22916666666666666</v>
      </c>
      <c r="O97" s="14"/>
      <c r="P97" s="2">
        <f>SUM(OSRRefP22_16x_0)</f>
        <v>1652.56</v>
      </c>
      <c r="Q97" s="2"/>
      <c r="R97" s="6">
        <f t="shared" si="24"/>
        <v>4.0927834929246708E-4</v>
      </c>
      <c r="S97" s="2"/>
      <c r="T97" s="2">
        <f>SUM(OSRRefT22_16x_0)</f>
        <v>780</v>
      </c>
      <c r="U97" s="2"/>
      <c r="V97" s="6">
        <f t="shared" si="25"/>
        <v>2.8895128096177806E-4</v>
      </c>
      <c r="W97" s="2"/>
      <c r="X97" s="2">
        <f t="shared" si="26"/>
        <v>872.56</v>
      </c>
      <c r="Y97" s="2"/>
      <c r="Z97" s="6">
        <f t="shared" si="27"/>
        <v>1.1186666666666667</v>
      </c>
    </row>
    <row r="98" spans="1:26" s="70" customFormat="1" ht="15" hidden="1" customHeight="1" outlineLevel="2" x14ac:dyDescent="0.3">
      <c r="A98" s="26"/>
      <c r="B98" s="12" t="str">
        <f>CONCATENATE("          ","6284"," - ","TRASH REMOVAL EXPENSE")</f>
        <v xml:space="preserve">          6284 - TRASH REMOVAL EXPENSE</v>
      </c>
      <c r="C98" s="12"/>
      <c r="D98" s="7"/>
      <c r="E98" s="3"/>
      <c r="F98" s="8">
        <f t="shared" si="20"/>
        <v>0</v>
      </c>
      <c r="G98" s="3"/>
      <c r="H98" s="7">
        <v>60</v>
      </c>
      <c r="I98" s="3"/>
      <c r="J98" s="8">
        <f t="shared" si="21"/>
        <v>2.3462061845995027E-4</v>
      </c>
      <c r="K98" s="3"/>
      <c r="L98" s="7">
        <f t="shared" si="22"/>
        <v>-60</v>
      </c>
      <c r="M98" s="3"/>
      <c r="N98" s="8">
        <f t="shared" si="23"/>
        <v>-1</v>
      </c>
      <c r="O98" s="12"/>
      <c r="P98" s="7">
        <v>1340.17</v>
      </c>
      <c r="Q98" s="3"/>
      <c r="R98" s="8">
        <f t="shared" si="24"/>
        <v>3.3191083250912868E-4</v>
      </c>
      <c r="S98" s="3"/>
      <c r="T98" s="7">
        <v>780</v>
      </c>
      <c r="U98" s="3"/>
      <c r="V98" s="8">
        <f t="shared" si="25"/>
        <v>2.8895128096177806E-4</v>
      </c>
      <c r="W98" s="3"/>
      <c r="X98" s="7">
        <f t="shared" si="26"/>
        <v>560.17000000000007</v>
      </c>
      <c r="Y98" s="3"/>
      <c r="Z98" s="8">
        <f t="shared" si="27"/>
        <v>0.71816666666666673</v>
      </c>
    </row>
    <row r="99" spans="1:26" s="70" customFormat="1" ht="15" hidden="1" customHeight="1" outlineLevel="2" x14ac:dyDescent="0.3">
      <c r="A99" s="26"/>
      <c r="B99" s="12" t="str">
        <f>CONCATENATE("          ","6285"," - ","JANITORIAL SERVICES")</f>
        <v xml:space="preserve">          6285 - JANITORIAL SERVICES</v>
      </c>
      <c r="C99" s="12"/>
      <c r="D99" s="7">
        <v>73.75</v>
      </c>
      <c r="E99" s="3"/>
      <c r="F99" s="8">
        <f t="shared" si="20"/>
        <v>9.8110201955094867E-5</v>
      </c>
      <c r="G99" s="3"/>
      <c r="H99" s="7"/>
      <c r="I99" s="3"/>
      <c r="J99" s="8">
        <f t="shared" si="21"/>
        <v>0</v>
      </c>
      <c r="K99" s="3"/>
      <c r="L99" s="7">
        <f t="shared" si="22"/>
        <v>73.75</v>
      </c>
      <c r="M99" s="3"/>
      <c r="N99" s="8">
        <f t="shared" si="23"/>
        <v>0</v>
      </c>
      <c r="O99" s="12"/>
      <c r="P99" s="7">
        <v>312.39</v>
      </c>
      <c r="Q99" s="3"/>
      <c r="R99" s="8">
        <f t="shared" si="24"/>
        <v>7.736751678333846E-5</v>
      </c>
      <c r="S99" s="3"/>
      <c r="T99" s="7"/>
      <c r="U99" s="3"/>
      <c r="V99" s="8">
        <f t="shared" si="25"/>
        <v>0</v>
      </c>
      <c r="W99" s="3"/>
      <c r="X99" s="7">
        <f t="shared" si="26"/>
        <v>312.39</v>
      </c>
      <c r="Y99" s="3"/>
      <c r="Z99" s="8">
        <f t="shared" si="27"/>
        <v>0</v>
      </c>
    </row>
    <row r="100" spans="1:26" s="69" customFormat="1" ht="15" customHeight="1" outlineLevel="1" collapsed="1" x14ac:dyDescent="0.3">
      <c r="A100" s="25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SUM(OSRRefD22_17x_0)</f>
        <v>0</v>
      </c>
      <c r="E100" s="2"/>
      <c r="F100" s="6">
        <f t="shared" si="20"/>
        <v>0</v>
      </c>
      <c r="G100" s="2"/>
      <c r="H100" s="2">
        <f>SUM(OSRRefH22_17x_0)</f>
        <v>161</v>
      </c>
      <c r="I100" s="2"/>
      <c r="J100" s="6">
        <f t="shared" si="21"/>
        <v>6.2956532620086656E-4</v>
      </c>
      <c r="K100" s="2"/>
      <c r="L100" s="2">
        <f t="shared" si="22"/>
        <v>-161</v>
      </c>
      <c r="M100" s="2"/>
      <c r="N100" s="6">
        <f t="shared" si="23"/>
        <v>-1</v>
      </c>
      <c r="O100" s="14"/>
      <c r="P100" s="2">
        <f>SUM(OSRRefP22_17x_0)</f>
        <v>125</v>
      </c>
      <c r="Q100" s="2"/>
      <c r="R100" s="6">
        <f t="shared" si="24"/>
        <v>3.0957903895506602E-5</v>
      </c>
      <c r="S100" s="2"/>
      <c r="T100" s="2">
        <f>SUM(OSRRefT22_17x_0)</f>
        <v>2505</v>
      </c>
      <c r="U100" s="2"/>
      <c r="V100" s="6">
        <f t="shared" si="25"/>
        <v>9.2797815231955637E-4</v>
      </c>
      <c r="W100" s="2"/>
      <c r="X100" s="2">
        <f t="shared" si="26"/>
        <v>-2380</v>
      </c>
      <c r="Y100" s="2"/>
      <c r="Z100" s="6">
        <f t="shared" si="27"/>
        <v>-0.95009980039920161</v>
      </c>
    </row>
    <row r="101" spans="1:26" s="70" customFormat="1" ht="15" hidden="1" customHeight="1" outlineLevel="2" x14ac:dyDescent="0.3">
      <c r="A101" s="26"/>
      <c r="B101" s="12" t="str">
        <f>CONCATENATE("          ","6258"," - ","MEMBERSHIP DUES")</f>
        <v xml:space="preserve">          6258 - MEMBERSHIP DUES</v>
      </c>
      <c r="C101" s="12"/>
      <c r="D101" s="7"/>
      <c r="E101" s="3"/>
      <c r="F101" s="8">
        <f t="shared" si="20"/>
        <v>0</v>
      </c>
      <c r="G101" s="3"/>
      <c r="H101" s="7">
        <v>0</v>
      </c>
      <c r="I101" s="3"/>
      <c r="J101" s="8">
        <f t="shared" si="21"/>
        <v>0</v>
      </c>
      <c r="K101" s="3"/>
      <c r="L101" s="7">
        <f t="shared" si="22"/>
        <v>0</v>
      </c>
      <c r="M101" s="3"/>
      <c r="N101" s="8">
        <f t="shared" si="23"/>
        <v>0</v>
      </c>
      <c r="O101" s="12"/>
      <c r="P101" s="7">
        <v>125</v>
      </c>
      <c r="Q101" s="3"/>
      <c r="R101" s="8">
        <f t="shared" si="24"/>
        <v>3.0957903895506602E-5</v>
      </c>
      <c r="S101" s="3"/>
      <c r="T101" s="7">
        <v>1395</v>
      </c>
      <c r="U101" s="3"/>
      <c r="V101" s="8">
        <f t="shared" si="25"/>
        <v>5.1677825248933377E-4</v>
      </c>
      <c r="W101" s="3"/>
      <c r="X101" s="7">
        <f t="shared" si="26"/>
        <v>-1270</v>
      </c>
      <c r="Y101" s="3"/>
      <c r="Z101" s="8">
        <f t="shared" si="27"/>
        <v>-0.91039426523297495</v>
      </c>
    </row>
    <row r="102" spans="1:26" s="70" customFormat="1" ht="15" hidden="1" customHeight="1" outlineLevel="2" x14ac:dyDescent="0.3">
      <c r="A102" s="26"/>
      <c r="B102" s="12" t="str">
        <f>CONCATENATE("          ","6275"," - ","SUBSCRIPTIONS")</f>
        <v xml:space="preserve">          6275 - SUBSCRIPTIONS</v>
      </c>
      <c r="C102" s="12"/>
      <c r="D102" s="7"/>
      <c r="E102" s="3"/>
      <c r="F102" s="8">
        <f t="shared" si="20"/>
        <v>0</v>
      </c>
      <c r="G102" s="3"/>
      <c r="H102" s="7">
        <v>161</v>
      </c>
      <c r="I102" s="3"/>
      <c r="J102" s="8">
        <f t="shared" si="21"/>
        <v>6.2956532620086656E-4</v>
      </c>
      <c r="K102" s="3"/>
      <c r="L102" s="7">
        <f t="shared" si="22"/>
        <v>-161</v>
      </c>
      <c r="M102" s="3"/>
      <c r="N102" s="8">
        <f t="shared" si="23"/>
        <v>-1</v>
      </c>
      <c r="O102" s="12"/>
      <c r="P102" s="7"/>
      <c r="Q102" s="3"/>
      <c r="R102" s="8">
        <f t="shared" si="24"/>
        <v>0</v>
      </c>
      <c r="S102" s="3"/>
      <c r="T102" s="7">
        <v>1110</v>
      </c>
      <c r="U102" s="3"/>
      <c r="V102" s="8">
        <f t="shared" si="25"/>
        <v>4.111998998302226E-4</v>
      </c>
      <c r="W102" s="3"/>
      <c r="X102" s="7">
        <f t="shared" si="26"/>
        <v>-1110</v>
      </c>
      <c r="Y102" s="3"/>
      <c r="Z102" s="8">
        <f t="shared" si="27"/>
        <v>-1</v>
      </c>
    </row>
    <row r="103" spans="1:26" s="69" customFormat="1" ht="15" customHeight="1" outlineLevel="1" collapsed="1" x14ac:dyDescent="0.3">
      <c r="A103" s="25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SUM(OSRRefD22_18x_0)</f>
        <v>623.1400000000001</v>
      </c>
      <c r="E103" s="2"/>
      <c r="F103" s="6">
        <f t="shared" si="20"/>
        <v>8.289680168989535E-4</v>
      </c>
      <c r="G103" s="2"/>
      <c r="H103" s="2">
        <f>SUM(OSRRefH22_18x_0)</f>
        <v>105</v>
      </c>
      <c r="I103" s="2"/>
      <c r="J103" s="6">
        <f t="shared" si="21"/>
        <v>4.1058608230491294E-4</v>
      </c>
      <c r="K103" s="2"/>
      <c r="L103" s="2">
        <f t="shared" si="22"/>
        <v>518.1400000000001</v>
      </c>
      <c r="M103" s="2"/>
      <c r="N103" s="6">
        <f t="shared" si="23"/>
        <v>4.9346666666666676</v>
      </c>
      <c r="O103" s="14"/>
      <c r="P103" s="2">
        <f>SUM(OSRRefP22_18x_0)</f>
        <v>10146.76</v>
      </c>
      <c r="Q103" s="2"/>
      <c r="R103" s="6">
        <f t="shared" si="24"/>
        <v>2.5129793674461645E-3</v>
      </c>
      <c r="S103" s="2"/>
      <c r="T103" s="2">
        <f>SUM(OSRRefT22_18x_0)</f>
        <v>1130</v>
      </c>
      <c r="U103" s="2"/>
      <c r="V103" s="6">
        <f t="shared" si="25"/>
        <v>4.1860890703437074E-4</v>
      </c>
      <c r="W103" s="2"/>
      <c r="X103" s="2">
        <f t="shared" si="26"/>
        <v>9016.76</v>
      </c>
      <c r="Y103" s="2"/>
      <c r="Z103" s="6">
        <f t="shared" si="27"/>
        <v>7.979433628318584</v>
      </c>
    </row>
    <row r="104" spans="1:26" s="70" customFormat="1" ht="15" hidden="1" customHeight="1" outlineLevel="2" x14ac:dyDescent="0.3">
      <c r="A104" s="26"/>
      <c r="B104" s="12" t="str">
        <f>CONCATENATE("          ","6235"," - ","COVID-19 EXPENSES")</f>
        <v xml:space="preserve">          6235 - COVID-19 EXPENSES</v>
      </c>
      <c r="C104" s="12"/>
      <c r="D104" s="7"/>
      <c r="E104" s="3"/>
      <c r="F104" s="8">
        <f t="shared" si="20"/>
        <v>0</v>
      </c>
      <c r="G104" s="3"/>
      <c r="H104" s="7">
        <v>0</v>
      </c>
      <c r="I104" s="3"/>
      <c r="J104" s="8">
        <f t="shared" si="21"/>
        <v>0</v>
      </c>
      <c r="K104" s="3"/>
      <c r="L104" s="7">
        <f t="shared" si="22"/>
        <v>0</v>
      </c>
      <c r="M104" s="3"/>
      <c r="N104" s="8">
        <f t="shared" si="23"/>
        <v>0</v>
      </c>
      <c r="O104" s="12"/>
      <c r="P104" s="7"/>
      <c r="Q104" s="3"/>
      <c r="R104" s="8">
        <f t="shared" si="24"/>
        <v>0</v>
      </c>
      <c r="S104" s="3"/>
      <c r="T104" s="7">
        <v>0</v>
      </c>
      <c r="U104" s="3"/>
      <c r="V104" s="8">
        <f t="shared" si="25"/>
        <v>0</v>
      </c>
      <c r="W104" s="3"/>
      <c r="X104" s="7">
        <f t="shared" si="26"/>
        <v>0</v>
      </c>
      <c r="Y104" s="3"/>
      <c r="Z104" s="8">
        <f t="shared" si="27"/>
        <v>0</v>
      </c>
    </row>
    <row r="105" spans="1:26" s="70" customFormat="1" ht="15" hidden="1" customHeight="1" outlineLevel="2" x14ac:dyDescent="0.3">
      <c r="A105" s="26"/>
      <c r="B105" s="12" t="str">
        <f>CONCATENATE("          ","6237"," - ","JANITORIAL SUPPLIES")</f>
        <v xml:space="preserve">          6237 - JANITORIAL SUPPLIES</v>
      </c>
      <c r="C105" s="12"/>
      <c r="D105" s="7">
        <v>692.84</v>
      </c>
      <c r="E105" s="3"/>
      <c r="F105" s="8">
        <f t="shared" si="20"/>
        <v>9.2169047217041254E-4</v>
      </c>
      <c r="G105" s="3"/>
      <c r="H105" s="7">
        <v>10</v>
      </c>
      <c r="I105" s="3"/>
      <c r="J105" s="8">
        <f t="shared" si="21"/>
        <v>3.910343640999171E-5</v>
      </c>
      <c r="K105" s="3"/>
      <c r="L105" s="7">
        <f t="shared" si="22"/>
        <v>682.84</v>
      </c>
      <c r="M105" s="3"/>
      <c r="N105" s="8">
        <f t="shared" si="23"/>
        <v>68.284000000000006</v>
      </c>
      <c r="O105" s="12"/>
      <c r="P105" s="7">
        <v>770.01</v>
      </c>
      <c r="Q105" s="3"/>
      <c r="R105" s="8">
        <f t="shared" si="24"/>
        <v>1.9070316462863231E-4</v>
      </c>
      <c r="S105" s="3"/>
      <c r="T105" s="7">
        <v>180</v>
      </c>
      <c r="U105" s="3"/>
      <c r="V105" s="8">
        <f t="shared" si="25"/>
        <v>6.6681064837333399E-5</v>
      </c>
      <c r="W105" s="3"/>
      <c r="X105" s="7">
        <f t="shared" si="26"/>
        <v>590.01</v>
      </c>
      <c r="Y105" s="3"/>
      <c r="Z105" s="8">
        <f t="shared" si="27"/>
        <v>3.2778333333333332</v>
      </c>
    </row>
    <row r="106" spans="1:26" s="70" customFormat="1" ht="15" hidden="1" customHeight="1" outlineLevel="2" x14ac:dyDescent="0.3">
      <c r="A106" s="26"/>
      <c r="B106" s="12" t="str">
        <f>CONCATENATE("          ","6241"," - ","OFFICE EXPENSE")</f>
        <v xml:space="preserve">          6241 - OFFICE EXPENSE</v>
      </c>
      <c r="C106" s="12"/>
      <c r="D106" s="7">
        <v>39.869999999999997</v>
      </c>
      <c r="E106" s="3"/>
      <c r="F106" s="8">
        <f t="shared" ref="F106:F117" si="28">IF(D$12=0,0,D106/D$12)</f>
        <v>5.3039372907791619E-5</v>
      </c>
      <c r="G106" s="3"/>
      <c r="H106" s="7">
        <v>45</v>
      </c>
      <c r="I106" s="3"/>
      <c r="J106" s="8">
        <f t="shared" ref="J106:J117" si="29">IF(H$12=0,0,H106/H$12)</f>
        <v>1.759654638449627E-4</v>
      </c>
      <c r="K106" s="3"/>
      <c r="L106" s="7">
        <f t="shared" ref="L106:L117" si="30">+D106-H106</f>
        <v>-5.1300000000000026</v>
      </c>
      <c r="M106" s="3"/>
      <c r="N106" s="8">
        <f t="shared" ref="N106:N117" si="31">IF(H106=0,0,L106/H106)</f>
        <v>-0.11400000000000006</v>
      </c>
      <c r="O106" s="12"/>
      <c r="P106" s="7">
        <v>2321.6799999999998</v>
      </c>
      <c r="Q106" s="3"/>
      <c r="R106" s="8">
        <f t="shared" ref="R106:R117" si="32">IF(P$12=0,0,P106/P$12)</f>
        <v>5.7499477052895813E-4</v>
      </c>
      <c r="S106" s="3"/>
      <c r="T106" s="7">
        <v>450</v>
      </c>
      <c r="U106" s="3"/>
      <c r="V106" s="8">
        <f t="shared" ref="V106:V117" si="33">IF(T$12=0,0,T106/T$12)</f>
        <v>1.6670266209333349E-4</v>
      </c>
      <c r="W106" s="3"/>
      <c r="X106" s="7">
        <f t="shared" ref="X106:X117" si="34">+P106-T106</f>
        <v>1871.6799999999998</v>
      </c>
      <c r="Y106" s="3"/>
      <c r="Z106" s="8">
        <f t="shared" ref="Z106:Z117" si="35">IF(T106=0,0,X106/T106)</f>
        <v>4.1592888888888888</v>
      </c>
    </row>
    <row r="107" spans="1:26" s="70" customFormat="1" ht="15" hidden="1" customHeight="1" outlineLevel="2" x14ac:dyDescent="0.3">
      <c r="A107" s="26"/>
      <c r="B107" s="12" t="str">
        <f>CONCATENATE("          ","6245"," - ","PRINTING")</f>
        <v xml:space="preserve">          6245 - PRINTING</v>
      </c>
      <c r="C107" s="12"/>
      <c r="D107" s="7"/>
      <c r="E107" s="3"/>
      <c r="F107" s="8">
        <f t="shared" si="28"/>
        <v>0</v>
      </c>
      <c r="G107" s="3"/>
      <c r="H107" s="7"/>
      <c r="I107" s="3"/>
      <c r="J107" s="8">
        <f t="shared" si="29"/>
        <v>0</v>
      </c>
      <c r="K107" s="3"/>
      <c r="L107" s="7">
        <f t="shared" si="30"/>
        <v>0</v>
      </c>
      <c r="M107" s="3"/>
      <c r="N107" s="8">
        <f t="shared" si="31"/>
        <v>0</v>
      </c>
      <c r="O107" s="12"/>
      <c r="P107" s="7">
        <v>35.549999999999997</v>
      </c>
      <c r="Q107" s="3"/>
      <c r="R107" s="8">
        <f t="shared" si="32"/>
        <v>8.8044278678820759E-6</v>
      </c>
      <c r="S107" s="3"/>
      <c r="T107" s="7"/>
      <c r="U107" s="3"/>
      <c r="V107" s="8">
        <f t="shared" si="33"/>
        <v>0</v>
      </c>
      <c r="W107" s="3"/>
      <c r="X107" s="7">
        <f t="shared" si="34"/>
        <v>35.549999999999997</v>
      </c>
      <c r="Y107" s="3"/>
      <c r="Z107" s="8">
        <f t="shared" si="35"/>
        <v>0</v>
      </c>
    </row>
    <row r="108" spans="1:26" s="70" customFormat="1" ht="15" hidden="1" customHeight="1" outlineLevel="2" x14ac:dyDescent="0.3">
      <c r="A108" s="26"/>
      <c r="B108" s="12" t="str">
        <f>CONCATENATE("          ","6247"," - ","STORE SUPPLIES")</f>
        <v xml:space="preserve">          6247 - STORE SUPPLIES</v>
      </c>
      <c r="C108" s="12"/>
      <c r="D108" s="7">
        <v>-109.57</v>
      </c>
      <c r="E108" s="3"/>
      <c r="F108" s="8">
        <f t="shared" si="28"/>
        <v>-1.4576182817925077E-4</v>
      </c>
      <c r="G108" s="3"/>
      <c r="H108" s="7">
        <v>50</v>
      </c>
      <c r="I108" s="3"/>
      <c r="J108" s="8">
        <f t="shared" si="29"/>
        <v>1.9551718204995856E-4</v>
      </c>
      <c r="K108" s="3"/>
      <c r="L108" s="7">
        <f t="shared" si="30"/>
        <v>-159.57</v>
      </c>
      <c r="M108" s="3"/>
      <c r="N108" s="8">
        <f t="shared" si="31"/>
        <v>-3.1913999999999998</v>
      </c>
      <c r="O108" s="12"/>
      <c r="P108" s="7">
        <v>7019.52</v>
      </c>
      <c r="Q108" s="3"/>
      <c r="R108" s="8">
        <f t="shared" si="32"/>
        <v>1.7384770044206921E-3</v>
      </c>
      <c r="S108" s="3"/>
      <c r="T108" s="7">
        <v>500</v>
      </c>
      <c r="U108" s="3"/>
      <c r="V108" s="8">
        <f t="shared" si="33"/>
        <v>1.8522518010370389E-4</v>
      </c>
      <c r="W108" s="3"/>
      <c r="X108" s="7">
        <f t="shared" si="34"/>
        <v>6519.52</v>
      </c>
      <c r="Y108" s="3"/>
      <c r="Z108" s="8">
        <f t="shared" si="35"/>
        <v>13.039040000000002</v>
      </c>
    </row>
    <row r="109" spans="1:26" s="69" customFormat="1" ht="15" customHeight="1" outlineLevel="1" collapsed="1" x14ac:dyDescent="0.3">
      <c r="A109" s="25"/>
      <c r="B109" s="14" t="str">
        <f>CONCATENATE("     ","Telephone/Data Lines                              ")</f>
        <v xml:space="preserve">     Telephone/Data Lines                              </v>
      </c>
      <c r="C109" s="14"/>
      <c r="D109" s="2">
        <f>SUM(OSRRefD22_19x_0)</f>
        <v>684.14</v>
      </c>
      <c r="E109" s="2"/>
      <c r="F109" s="6">
        <f t="shared" si="28"/>
        <v>9.101167941092691E-4</v>
      </c>
      <c r="G109" s="2"/>
      <c r="H109" s="2">
        <f>SUM(OSRRefH22_19x_0)</f>
        <v>550</v>
      </c>
      <c r="I109" s="2"/>
      <c r="J109" s="6">
        <f t="shared" si="29"/>
        <v>2.1506890025495442E-3</v>
      </c>
      <c r="K109" s="2"/>
      <c r="L109" s="2">
        <f t="shared" si="30"/>
        <v>134.13999999999999</v>
      </c>
      <c r="M109" s="2"/>
      <c r="N109" s="6">
        <f t="shared" si="31"/>
        <v>0.24389090909090907</v>
      </c>
      <c r="O109" s="14"/>
      <c r="P109" s="2">
        <f>SUM(OSRRefP22_19x_0)</f>
        <v>5362.65</v>
      </c>
      <c r="Q109" s="2"/>
      <c r="R109" s="6">
        <f t="shared" si="32"/>
        <v>1.3281312266019078E-3</v>
      </c>
      <c r="S109" s="2"/>
      <c r="T109" s="2">
        <f>SUM(OSRRefT22_19x_0)</f>
        <v>5500</v>
      </c>
      <c r="U109" s="2"/>
      <c r="V109" s="6">
        <f t="shared" si="33"/>
        <v>2.0374769811407427E-3</v>
      </c>
      <c r="W109" s="2"/>
      <c r="X109" s="2">
        <f t="shared" si="34"/>
        <v>-137.35000000000036</v>
      </c>
      <c r="Y109" s="2"/>
      <c r="Z109" s="6">
        <f t="shared" si="35"/>
        <v>-2.4972727272727337E-2</v>
      </c>
    </row>
    <row r="110" spans="1:26" s="70" customFormat="1" ht="15" hidden="1" customHeight="1" outlineLevel="2" x14ac:dyDescent="0.3">
      <c r="A110" s="26"/>
      <c r="B110" s="12" t="str">
        <f>CONCATENATE("          ","6309"," - ","TELEPHONE")</f>
        <v xml:space="preserve">          6309 - TELEPHONE</v>
      </c>
      <c r="C110" s="12"/>
      <c r="D110" s="7">
        <v>684.14</v>
      </c>
      <c r="E110" s="3"/>
      <c r="F110" s="8">
        <f t="shared" si="28"/>
        <v>9.101167941092691E-4</v>
      </c>
      <c r="G110" s="3"/>
      <c r="H110" s="7">
        <v>550</v>
      </c>
      <c r="I110" s="3"/>
      <c r="J110" s="8">
        <f t="shared" si="29"/>
        <v>2.1506890025495442E-3</v>
      </c>
      <c r="K110" s="3"/>
      <c r="L110" s="7">
        <f t="shared" si="30"/>
        <v>134.13999999999999</v>
      </c>
      <c r="M110" s="3"/>
      <c r="N110" s="8">
        <f t="shared" si="31"/>
        <v>0.24389090909090907</v>
      </c>
      <c r="O110" s="12"/>
      <c r="P110" s="7">
        <v>5362.65</v>
      </c>
      <c r="Q110" s="3"/>
      <c r="R110" s="8">
        <f t="shared" si="32"/>
        <v>1.3281312266019078E-3</v>
      </c>
      <c r="S110" s="3"/>
      <c r="T110" s="7">
        <v>5500</v>
      </c>
      <c r="U110" s="3"/>
      <c r="V110" s="8">
        <f t="shared" si="33"/>
        <v>2.0374769811407427E-3</v>
      </c>
      <c r="W110" s="3"/>
      <c r="X110" s="7">
        <f t="shared" si="34"/>
        <v>-137.35000000000036</v>
      </c>
      <c r="Y110" s="3"/>
      <c r="Z110" s="8">
        <f t="shared" si="35"/>
        <v>-2.4972727272727337E-2</v>
      </c>
    </row>
    <row r="111" spans="1:26" s="69" customFormat="1" ht="15" customHeight="1" outlineLevel="1" collapsed="1" x14ac:dyDescent="0.3">
      <c r="A111" s="25"/>
      <c r="B111" s="14" t="str">
        <f>CONCATENATE("     ","Training                                          ")</f>
        <v xml:space="preserve">     Training                                          </v>
      </c>
      <c r="C111" s="14"/>
      <c r="D111" s="2">
        <f>SUM(OSRRefD22_20x_0)</f>
        <v>0</v>
      </c>
      <c r="E111" s="2"/>
      <c r="F111" s="6">
        <f t="shared" si="28"/>
        <v>0</v>
      </c>
      <c r="G111" s="2"/>
      <c r="H111" s="2">
        <f>SUM(OSRRefH22_20x_0)</f>
        <v>0</v>
      </c>
      <c r="I111" s="2"/>
      <c r="J111" s="6">
        <f t="shared" si="29"/>
        <v>0</v>
      </c>
      <c r="K111" s="2"/>
      <c r="L111" s="2">
        <f t="shared" si="30"/>
        <v>0</v>
      </c>
      <c r="M111" s="2"/>
      <c r="N111" s="6">
        <f t="shared" si="31"/>
        <v>0</v>
      </c>
      <c r="O111" s="14"/>
      <c r="P111" s="2">
        <f>SUM(OSRRefP22_20x_0)</f>
        <v>300</v>
      </c>
      <c r="Q111" s="2"/>
      <c r="R111" s="6">
        <f t="shared" si="32"/>
        <v>7.4298969349215844E-5</v>
      </c>
      <c r="S111" s="2"/>
      <c r="T111" s="2">
        <f>SUM(OSRRefT22_20x_0)</f>
        <v>0</v>
      </c>
      <c r="U111" s="2"/>
      <c r="V111" s="6">
        <f t="shared" si="33"/>
        <v>0</v>
      </c>
      <c r="W111" s="2"/>
      <c r="X111" s="2">
        <f t="shared" si="34"/>
        <v>300</v>
      </c>
      <c r="Y111" s="2"/>
      <c r="Z111" s="6">
        <f t="shared" si="35"/>
        <v>0</v>
      </c>
    </row>
    <row r="112" spans="1:26" s="70" customFormat="1" ht="15" hidden="1" customHeight="1" outlineLevel="2" x14ac:dyDescent="0.3">
      <c r="A112" s="26"/>
      <c r="B112" s="12" t="str">
        <f>CONCATENATE("          ","6376"," - ","TRAINING")</f>
        <v xml:space="preserve">          6376 - TRAINING</v>
      </c>
      <c r="C112" s="12"/>
      <c r="D112" s="7"/>
      <c r="E112" s="3"/>
      <c r="F112" s="8">
        <f t="shared" si="28"/>
        <v>0</v>
      </c>
      <c r="G112" s="3"/>
      <c r="H112" s="7"/>
      <c r="I112" s="3"/>
      <c r="J112" s="8">
        <f t="shared" si="29"/>
        <v>0</v>
      </c>
      <c r="K112" s="3"/>
      <c r="L112" s="7">
        <f t="shared" si="30"/>
        <v>0</v>
      </c>
      <c r="M112" s="3"/>
      <c r="N112" s="8">
        <f t="shared" si="31"/>
        <v>0</v>
      </c>
      <c r="O112" s="12"/>
      <c r="P112" s="7">
        <v>300</v>
      </c>
      <c r="Q112" s="3"/>
      <c r="R112" s="8">
        <f t="shared" si="32"/>
        <v>7.4298969349215844E-5</v>
      </c>
      <c r="S112" s="3"/>
      <c r="T112" s="7"/>
      <c r="U112" s="3"/>
      <c r="V112" s="8">
        <f t="shared" si="33"/>
        <v>0</v>
      </c>
      <c r="W112" s="3"/>
      <c r="X112" s="7">
        <f t="shared" si="34"/>
        <v>300</v>
      </c>
      <c r="Y112" s="3"/>
      <c r="Z112" s="8">
        <f t="shared" si="35"/>
        <v>0</v>
      </c>
    </row>
    <row r="113" spans="1:26" s="69" customFormat="1" ht="15" customHeight="1" outlineLevel="1" collapsed="1" x14ac:dyDescent="0.3">
      <c r="A113" s="25"/>
      <c r="B113" s="14" t="str">
        <f>CONCATENATE("     ","Travel                                            ")</f>
        <v xml:space="preserve">     Travel                                            </v>
      </c>
      <c r="C113" s="14"/>
      <c r="D113" s="2">
        <f>SUM(OSRRefD22_21x_0)</f>
        <v>0</v>
      </c>
      <c r="E113" s="2"/>
      <c r="F113" s="6">
        <f t="shared" si="28"/>
        <v>0</v>
      </c>
      <c r="G113" s="2"/>
      <c r="H113" s="2">
        <f>SUM(OSRRefH22_21x_0)</f>
        <v>50</v>
      </c>
      <c r="I113" s="2"/>
      <c r="J113" s="6">
        <f t="shared" si="29"/>
        <v>1.9551718204995856E-4</v>
      </c>
      <c r="K113" s="2"/>
      <c r="L113" s="2">
        <f t="shared" si="30"/>
        <v>-50</v>
      </c>
      <c r="M113" s="2"/>
      <c r="N113" s="6">
        <f t="shared" si="31"/>
        <v>-1</v>
      </c>
      <c r="O113" s="14"/>
      <c r="P113" s="2">
        <f>SUM(OSRRefP22_21x_0)</f>
        <v>403.48</v>
      </c>
      <c r="Q113" s="2"/>
      <c r="R113" s="6">
        <f t="shared" si="32"/>
        <v>9.9927160510072024E-5</v>
      </c>
      <c r="S113" s="2"/>
      <c r="T113" s="2">
        <f>SUM(OSRRefT22_21x_0)</f>
        <v>750</v>
      </c>
      <c r="U113" s="2"/>
      <c r="V113" s="6">
        <f t="shared" si="33"/>
        <v>2.7783777015555583E-4</v>
      </c>
      <c r="W113" s="2"/>
      <c r="X113" s="2">
        <f t="shared" si="34"/>
        <v>-346.52</v>
      </c>
      <c r="Y113" s="2"/>
      <c r="Z113" s="6">
        <f t="shared" si="35"/>
        <v>-0.46202666666666664</v>
      </c>
    </row>
    <row r="114" spans="1:26" s="70" customFormat="1" ht="15" hidden="1" customHeight="1" outlineLevel="2" x14ac:dyDescent="0.3">
      <c r="A114" s="26"/>
      <c r="B114" s="12" t="str">
        <f>CONCATENATE("          ","6294"," - ","TRAVEL OPERATIONAL")</f>
        <v xml:space="preserve">          6294 - TRAVEL OPERATIONAL</v>
      </c>
      <c r="C114" s="12"/>
      <c r="D114" s="7"/>
      <c r="E114" s="3"/>
      <c r="F114" s="8">
        <f t="shared" si="28"/>
        <v>0</v>
      </c>
      <c r="G114" s="3"/>
      <c r="H114" s="7">
        <v>25</v>
      </c>
      <c r="I114" s="3"/>
      <c r="J114" s="8">
        <f t="shared" si="29"/>
        <v>9.7758591024979278E-5</v>
      </c>
      <c r="K114" s="3"/>
      <c r="L114" s="7">
        <f t="shared" si="30"/>
        <v>-25</v>
      </c>
      <c r="M114" s="3"/>
      <c r="N114" s="8">
        <f t="shared" si="31"/>
        <v>-1</v>
      </c>
      <c r="O114" s="12"/>
      <c r="P114" s="7">
        <v>403.48</v>
      </c>
      <c r="Q114" s="3"/>
      <c r="R114" s="8">
        <f t="shared" si="32"/>
        <v>9.9927160510072024E-5</v>
      </c>
      <c r="S114" s="3"/>
      <c r="T114" s="7">
        <v>250</v>
      </c>
      <c r="U114" s="3"/>
      <c r="V114" s="8">
        <f t="shared" si="33"/>
        <v>9.2612590051851943E-5</v>
      </c>
      <c r="W114" s="3"/>
      <c r="X114" s="7">
        <f t="shared" si="34"/>
        <v>153.48000000000002</v>
      </c>
      <c r="Y114" s="3"/>
      <c r="Z114" s="8">
        <f t="shared" si="35"/>
        <v>0.61392000000000002</v>
      </c>
    </row>
    <row r="115" spans="1:26" s="70" customFormat="1" ht="15" hidden="1" customHeight="1" outlineLevel="2" x14ac:dyDescent="0.3">
      <c r="A115" s="26"/>
      <c r="B115" s="12" t="str">
        <f>CONCATENATE("          ","6298"," - ","VEHICLE MILEAGE")</f>
        <v xml:space="preserve">          6298 - VEHICLE MILEAGE</v>
      </c>
      <c r="C115" s="12"/>
      <c r="D115" s="7"/>
      <c r="E115" s="3"/>
      <c r="F115" s="8">
        <f t="shared" si="28"/>
        <v>0</v>
      </c>
      <c r="G115" s="3"/>
      <c r="H115" s="7">
        <v>25</v>
      </c>
      <c r="I115" s="3"/>
      <c r="J115" s="8">
        <f t="shared" si="29"/>
        <v>9.7758591024979278E-5</v>
      </c>
      <c r="K115" s="3"/>
      <c r="L115" s="7">
        <f t="shared" si="30"/>
        <v>-25</v>
      </c>
      <c r="M115" s="3"/>
      <c r="N115" s="8">
        <f t="shared" si="31"/>
        <v>-1</v>
      </c>
      <c r="O115" s="12"/>
      <c r="P115" s="7"/>
      <c r="Q115" s="3"/>
      <c r="R115" s="8">
        <f t="shared" si="32"/>
        <v>0</v>
      </c>
      <c r="S115" s="3"/>
      <c r="T115" s="7">
        <v>500</v>
      </c>
      <c r="U115" s="3"/>
      <c r="V115" s="8">
        <f t="shared" si="33"/>
        <v>1.8522518010370389E-4</v>
      </c>
      <c r="W115" s="3"/>
      <c r="X115" s="7">
        <f t="shared" si="34"/>
        <v>-500</v>
      </c>
      <c r="Y115" s="3"/>
      <c r="Z115" s="8">
        <f t="shared" si="35"/>
        <v>-1</v>
      </c>
    </row>
    <row r="116" spans="1:26" s="69" customFormat="1" ht="15" customHeight="1" outlineLevel="1" collapsed="1" x14ac:dyDescent="0.3">
      <c r="A116" s="25"/>
      <c r="B116" s="14" t="str">
        <f>CONCATENATE("     ","Utilities                                         ")</f>
        <v xml:space="preserve">     Utilities                                         </v>
      </c>
      <c r="C116" s="14"/>
      <c r="D116" s="2">
        <f>SUM(OSRRefD22_22x_0)</f>
        <v>254.32</v>
      </c>
      <c r="E116" s="2"/>
      <c r="F116" s="6">
        <f t="shared" si="28"/>
        <v>3.3832388557586066E-4</v>
      </c>
      <c r="G116" s="2"/>
      <c r="H116" s="2">
        <f>SUM(OSRRefH22_22x_0)</f>
        <v>120</v>
      </c>
      <c r="I116" s="2"/>
      <c r="J116" s="6">
        <f t="shared" si="29"/>
        <v>4.6924123691990054E-4</v>
      </c>
      <c r="K116" s="2"/>
      <c r="L116" s="2">
        <f t="shared" si="30"/>
        <v>134.32</v>
      </c>
      <c r="M116" s="2"/>
      <c r="N116" s="6">
        <f t="shared" si="31"/>
        <v>1.1193333333333333</v>
      </c>
      <c r="O116" s="14"/>
      <c r="P116" s="2">
        <f>SUM(OSRRefP22_22x_0)</f>
        <v>1287.22</v>
      </c>
      <c r="Q116" s="2"/>
      <c r="R116" s="6">
        <f t="shared" si="32"/>
        <v>3.1879706441899206E-4</v>
      </c>
      <c r="S116" s="2"/>
      <c r="T116" s="2">
        <f>SUM(OSRRefT22_22x_0)</f>
        <v>3880</v>
      </c>
      <c r="U116" s="2"/>
      <c r="V116" s="6">
        <f t="shared" si="33"/>
        <v>1.4373473976047422E-3</v>
      </c>
      <c r="W116" s="2"/>
      <c r="X116" s="2">
        <f t="shared" si="34"/>
        <v>-2592.7799999999997</v>
      </c>
      <c r="Y116" s="2"/>
      <c r="Z116" s="6">
        <f t="shared" si="35"/>
        <v>-0.6682422680412371</v>
      </c>
    </row>
    <row r="117" spans="1:26" s="70" customFormat="1" ht="15" hidden="1" customHeight="1" outlineLevel="2" x14ac:dyDescent="0.3">
      <c r="A117" s="26"/>
      <c r="B117" s="12" t="str">
        <f>CONCATENATE("          ","6274"," - ","UTILITIES")</f>
        <v xml:space="preserve">          6274 - UTILITIES</v>
      </c>
      <c r="C117" s="12"/>
      <c r="D117" s="7">
        <v>254.32</v>
      </c>
      <c r="E117" s="3"/>
      <c r="F117" s="8">
        <f t="shared" si="28"/>
        <v>3.3832388557586066E-4</v>
      </c>
      <c r="G117" s="3"/>
      <c r="H117" s="7">
        <v>120</v>
      </c>
      <c r="I117" s="3"/>
      <c r="J117" s="8">
        <f t="shared" si="29"/>
        <v>4.6924123691990054E-4</v>
      </c>
      <c r="K117" s="3"/>
      <c r="L117" s="7">
        <f t="shared" si="30"/>
        <v>134.32</v>
      </c>
      <c r="M117" s="3"/>
      <c r="N117" s="8">
        <f t="shared" si="31"/>
        <v>1.1193333333333333</v>
      </c>
      <c r="O117" s="12"/>
      <c r="P117" s="7">
        <v>1287.22</v>
      </c>
      <c r="Q117" s="3"/>
      <c r="R117" s="8">
        <f t="shared" si="32"/>
        <v>3.1879706441899206E-4</v>
      </c>
      <c r="S117" s="3"/>
      <c r="T117" s="7">
        <v>3880</v>
      </c>
      <c r="U117" s="3"/>
      <c r="V117" s="8">
        <f t="shared" si="33"/>
        <v>1.4373473976047422E-3</v>
      </c>
      <c r="W117" s="3"/>
      <c r="X117" s="7">
        <f t="shared" si="34"/>
        <v>-2592.7799999999997</v>
      </c>
      <c r="Y117" s="3"/>
      <c r="Z117" s="8">
        <f t="shared" si="35"/>
        <v>-0.6682422680412371</v>
      </c>
    </row>
    <row r="118" spans="1:26" s="65" customFormat="1" ht="15" customHeight="1" x14ac:dyDescent="0.3">
      <c r="A118" s="35"/>
      <c r="B118" s="35"/>
      <c r="C118" s="35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O118" s="35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63" customFormat="1" ht="15" customHeight="1" collapsed="1" x14ac:dyDescent="0.3">
      <c r="A119" s="11"/>
      <c r="B119" s="28" t="s">
        <v>291</v>
      </c>
      <c r="C119" s="11"/>
      <c r="D119" s="5">
        <f>SUM(OSRRefD25x_0)</f>
        <v>33877.660000000003</v>
      </c>
      <c r="E119" s="5"/>
      <c r="F119" s="13">
        <f>IF(D$12=0,0,D119/D$12)</f>
        <v>4.5067716126997143E-2</v>
      </c>
      <c r="G119" s="5"/>
      <c r="H119" s="5">
        <f>SUM(OSRRefH25x_0)</f>
        <v>29111</v>
      </c>
      <c r="I119" s="5"/>
      <c r="J119" s="13">
        <f>IF(H$12=0,0,H119/H$12)</f>
        <v>0.11383401373312686</v>
      </c>
      <c r="K119" s="5"/>
      <c r="L119" s="5">
        <f>+D119-H119</f>
        <v>4766.6600000000035</v>
      </c>
      <c r="M119" s="5"/>
      <c r="N119" s="13">
        <f>IF(H119=0,0,L119/H119)</f>
        <v>0.1637408539727252</v>
      </c>
      <c r="O119" s="11"/>
      <c r="P119" s="5">
        <f>SUM(OSRRefP25x_0)</f>
        <v>367580.03</v>
      </c>
      <c r="Q119" s="5"/>
      <c r="R119" s="13">
        <f>IF(P$12=0,0,P119/P$12)</f>
        <v>9.1036057941179471E-2</v>
      </c>
      <c r="S119" s="5"/>
      <c r="T119" s="5">
        <f>SUM(OSRRefT25x_0)</f>
        <v>193672</v>
      </c>
      <c r="U119" s="5"/>
      <c r="V119" s="13">
        <f>IF(T$12=0,0,T119/T$12)</f>
        <v>7.1745862162089072E-2</v>
      </c>
      <c r="W119" s="5"/>
      <c r="X119" s="5">
        <f>+P119-T119</f>
        <v>173908.03000000003</v>
      </c>
      <c r="Y119" s="5"/>
      <c r="Z119" s="13">
        <f>IF(T119=0,0,X119/T119)</f>
        <v>0.89795133008385331</v>
      </c>
    </row>
    <row r="120" spans="1:26" s="70" customFormat="1" ht="15" hidden="1" customHeight="1" outlineLevel="1" x14ac:dyDescent="0.3">
      <c r="A120" s="42"/>
      <c r="B120" s="12" t="str">
        <f>CONCATENATE("          ","9150"," - ","MISC. INCOME")</f>
        <v xml:space="preserve">          9150 - MISC. INCOME</v>
      </c>
      <c r="C120" s="12"/>
      <c r="D120" s="3">
        <f>--31888.66</f>
        <v>31888.66</v>
      </c>
      <c r="E120" s="3"/>
      <c r="F120" s="20">
        <f>IF(D$12=0,0,D120/D$12)</f>
        <v>4.2421733866811598E-2</v>
      </c>
      <c r="G120" s="3"/>
      <c r="H120" s="3">
        <v>29111</v>
      </c>
      <c r="I120" s="3"/>
      <c r="J120" s="20">
        <f>IF(H$12=0,0,H120/H$12)</f>
        <v>0.11383401373312686</v>
      </c>
      <c r="K120" s="3"/>
      <c r="L120" s="3">
        <f>+D120-H120</f>
        <v>2777.66</v>
      </c>
      <c r="M120" s="3"/>
      <c r="N120" s="20">
        <f>IF(H120=0,0,L120/H120)</f>
        <v>9.5416165710556139E-2</v>
      </c>
      <c r="O120" s="12"/>
      <c r="P120" s="3">
        <f>--110760.33</f>
        <v>110760.33</v>
      </c>
      <c r="Q120" s="3"/>
      <c r="R120" s="20">
        <f>IF(P$12=0,0,P120/P$12)</f>
        <v>2.7431261212596772E-2</v>
      </c>
      <c r="S120" s="3"/>
      <c r="T120" s="3">
        <v>77006</v>
      </c>
      <c r="U120" s="3"/>
      <c r="V120" s="20">
        <f>IF(T$12=0,0,T120/T$12)</f>
        <v>2.8526900438131639E-2</v>
      </c>
      <c r="W120" s="3"/>
      <c r="X120" s="3">
        <f>+P120-T120</f>
        <v>33754.33</v>
      </c>
      <c r="Y120" s="3"/>
      <c r="Z120" s="20">
        <f>IF(T120=0,0,X120/T120)</f>
        <v>0.43833376620003639</v>
      </c>
    </row>
    <row r="121" spans="1:26" s="70" customFormat="1" ht="15" hidden="1" customHeight="1" outlineLevel="1" x14ac:dyDescent="0.3">
      <c r="A121" s="42"/>
      <c r="B121" s="12" t="str">
        <f>CONCATENATE("          ","9160"," - ","MISC. INCOME")</f>
        <v xml:space="preserve">          9160 - MISC. INCOME</v>
      </c>
      <c r="C121" s="12"/>
      <c r="D121" s="3">
        <f>0</f>
        <v>0</v>
      </c>
      <c r="E121" s="3"/>
      <c r="F121" s="20">
        <f>IF(D$12=0,0,D121/D$12)</f>
        <v>0</v>
      </c>
      <c r="G121" s="3"/>
      <c r="H121" s="3">
        <v>0</v>
      </c>
      <c r="I121" s="3"/>
      <c r="J121" s="20">
        <f>IF(H$12=0,0,H121/H$12)</f>
        <v>0</v>
      </c>
      <c r="K121" s="3"/>
      <c r="L121" s="3">
        <f>+D121-H121</f>
        <v>0</v>
      </c>
      <c r="M121" s="3"/>
      <c r="N121" s="20">
        <f>IF(H121=0,0,L121/H121)</f>
        <v>0</v>
      </c>
      <c r="O121" s="12"/>
      <c r="P121" s="3">
        <f>0</f>
        <v>0</v>
      </c>
      <c r="Q121" s="3"/>
      <c r="R121" s="20">
        <f>IF(P$12=0,0,P121/P$12)</f>
        <v>0</v>
      </c>
      <c r="S121" s="3"/>
      <c r="T121" s="3">
        <v>116666</v>
      </c>
      <c r="U121" s="3"/>
      <c r="V121" s="20">
        <f>IF(T$12=0,0,T121/T$12)</f>
        <v>4.3218961723957429E-2</v>
      </c>
      <c r="W121" s="3"/>
      <c r="X121" s="3">
        <f>+P121-T121</f>
        <v>-116666</v>
      </c>
      <c r="Y121" s="3"/>
      <c r="Z121" s="20">
        <f>IF(T121=0,0,X121/T121)</f>
        <v>-1</v>
      </c>
    </row>
    <row r="122" spans="1:26" s="70" customFormat="1" ht="15" hidden="1" customHeight="1" outlineLevel="1" x14ac:dyDescent="0.3">
      <c r="A122" s="42"/>
      <c r="B122" s="12" t="str">
        <f>CONCATENATE("          ","9163"," - ","MISC. INCOME")</f>
        <v xml:space="preserve">          9163 - MISC. INCOME</v>
      </c>
      <c r="C122" s="12"/>
      <c r="D122" s="3">
        <f>--1989</f>
        <v>1989</v>
      </c>
      <c r="E122" s="3"/>
      <c r="F122" s="20">
        <f>IF(D$12=0,0,D122/D$12)</f>
        <v>2.6459822601855414E-3</v>
      </c>
      <c r="G122" s="3"/>
      <c r="H122" s="3"/>
      <c r="I122" s="3"/>
      <c r="J122" s="20">
        <f>IF(H$12=0,0,H122/H$12)</f>
        <v>0</v>
      </c>
      <c r="K122" s="3"/>
      <c r="L122" s="3">
        <f>+D122-H122</f>
        <v>1989</v>
      </c>
      <c r="M122" s="3"/>
      <c r="N122" s="20">
        <f>IF(H122=0,0,L122/H122)</f>
        <v>0</v>
      </c>
      <c r="O122" s="12"/>
      <c r="P122" s="3">
        <f>--256819.7</f>
        <v>256819.7</v>
      </c>
      <c r="Q122" s="3"/>
      <c r="R122" s="20">
        <f>IF(P$12=0,0,P122/P$12)</f>
        <v>6.3604796728582699E-2</v>
      </c>
      <c r="S122" s="3"/>
      <c r="T122" s="3"/>
      <c r="U122" s="3"/>
      <c r="V122" s="20">
        <f>IF(T$12=0,0,T122/T$12)</f>
        <v>0</v>
      </c>
      <c r="W122" s="3"/>
      <c r="X122" s="3">
        <f>+P122-T122</f>
        <v>256819.7</v>
      </c>
      <c r="Y122" s="3"/>
      <c r="Z122" s="20">
        <f>IF(T122=0,0,X122/T122)</f>
        <v>0</v>
      </c>
    </row>
    <row r="123" spans="1:26" ht="15" customHeight="1" x14ac:dyDescent="0.3">
      <c r="A123" s="10"/>
      <c r="B123" s="11"/>
      <c r="C123" s="11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O123" s="11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3">
      <c r="A124" s="11"/>
      <c r="B124" s="27" t="s">
        <v>292</v>
      </c>
      <c r="C124" s="27"/>
      <c r="D124" s="21">
        <f>+D40-D42+D119</f>
        <v>311100.58000000007</v>
      </c>
      <c r="E124" s="15"/>
      <c r="F124" s="23">
        <f>IF(D$12=0,0,D124/D$12)</f>
        <v>0.41385953535114783</v>
      </c>
      <c r="G124" s="15"/>
      <c r="H124" s="21">
        <f>+H40-H42+H119</f>
        <v>26576.121572634642</v>
      </c>
      <c r="I124" s="15"/>
      <c r="J124" s="23">
        <f>IF(H$12=0,0,H124/H$12)</f>
        <v>0.10392176799397276</v>
      </c>
      <c r="K124" s="17"/>
      <c r="L124" s="21">
        <f>+D124-H124</f>
        <v>284524.4584273654</v>
      </c>
      <c r="M124" s="17"/>
      <c r="N124" s="23">
        <f>IF(H124=0,0,L124/H124)</f>
        <v>10.706018846645383</v>
      </c>
      <c r="O124" s="28"/>
      <c r="P124" s="21">
        <f>+P40-P42+P119</f>
        <v>1473067.0800000003</v>
      </c>
      <c r="Q124" s="15"/>
      <c r="R124" s="23">
        <f>IF(P$12=0,0,P124/P$12)</f>
        <v>0.36482455275419634</v>
      </c>
      <c r="S124" s="15"/>
      <c r="T124" s="21">
        <f>+T40-T42+T119</f>
        <v>424823.05392898433</v>
      </c>
      <c r="U124" s="15"/>
      <c r="V124" s="23">
        <f>IF(T$12=0,0,T124/T$12)</f>
        <v>0.15737585335240326</v>
      </c>
      <c r="W124" s="17"/>
      <c r="X124" s="21">
        <f>+P124-T124</f>
        <v>1048244.026071016</v>
      </c>
      <c r="Y124" s="17"/>
      <c r="Z124" s="23">
        <f>IF(T124=0,0,X124/T124)</f>
        <v>2.4674838532803496</v>
      </c>
    </row>
    <row r="125" spans="1:26" ht="15" customHeight="1" x14ac:dyDescent="0.3">
      <c r="A125" s="10"/>
      <c r="B125" s="11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3" customFormat="1" ht="15" customHeight="1" x14ac:dyDescent="0.3">
      <c r="A126" s="49"/>
      <c r="B126" s="11" t="s">
        <v>293</v>
      </c>
      <c r="C126" s="11"/>
      <c r="D126" s="5">
        <v>65230.71</v>
      </c>
      <c r="E126" s="5"/>
      <c r="F126" s="13">
        <f>IF(D$12=0,0,D126/D$12)</f>
        <v>8.677692382066747E-2</v>
      </c>
      <c r="G126" s="5"/>
      <c r="H126" s="5">
        <v>34472</v>
      </c>
      <c r="I126" s="5"/>
      <c r="J126" s="13">
        <f>IF(H$12=0,0,H126/H$12)</f>
        <v>0.13479736599252343</v>
      </c>
      <c r="K126" s="5"/>
      <c r="L126" s="5">
        <f>+D126-H126</f>
        <v>30758.71</v>
      </c>
      <c r="M126" s="5"/>
      <c r="N126" s="13">
        <f>IF(H126=0,0,L126/H126)</f>
        <v>0.89228098166627989</v>
      </c>
      <c r="O126" s="11"/>
      <c r="P126" s="5">
        <v>457410.97</v>
      </c>
      <c r="Q126" s="5"/>
      <c r="R126" s="13">
        <f>IF(P$12=0,0,P126/P$12)</f>
        <v>0.11328387880008361</v>
      </c>
      <c r="S126" s="5"/>
      <c r="T126" s="5">
        <v>332068</v>
      </c>
      <c r="U126" s="5"/>
      <c r="V126" s="13">
        <f>IF(T$12=0,0,T126/T$12)</f>
        <v>0.12301471021335347</v>
      </c>
      <c r="W126" s="5"/>
      <c r="X126" s="5">
        <f>+P126-T126</f>
        <v>125342.96999999997</v>
      </c>
      <c r="Y126" s="5"/>
      <c r="Z126" s="13">
        <f>IF(T126=0,0,X126/T126)</f>
        <v>0.37746175482130156</v>
      </c>
    </row>
    <row r="127" spans="1:26" ht="15" customHeight="1" x14ac:dyDescent="0.3">
      <c r="A127" s="10"/>
      <c r="B127" s="11"/>
      <c r="C127" s="11"/>
      <c r="D127" s="4"/>
      <c r="E127" s="4"/>
      <c r="F127" s="9"/>
      <c r="G127" s="4"/>
      <c r="H127" s="4"/>
      <c r="I127" s="4"/>
      <c r="J127" s="9"/>
      <c r="K127" s="4"/>
      <c r="L127" s="4"/>
      <c r="M127" s="4"/>
      <c r="N127" s="9"/>
      <c r="O127" s="11"/>
      <c r="P127" s="4"/>
      <c r="Q127" s="4"/>
      <c r="R127" s="9"/>
      <c r="S127" s="4"/>
      <c r="T127" s="4"/>
      <c r="U127" s="4"/>
      <c r="V127" s="9"/>
      <c r="W127" s="4"/>
      <c r="X127" s="4"/>
      <c r="Y127" s="4"/>
      <c r="Z127" s="9"/>
    </row>
    <row r="128" spans="1:26" s="63" customFormat="1" ht="15" customHeight="1" x14ac:dyDescent="0.3">
      <c r="A128" s="11"/>
      <c r="B128" s="27" t="s">
        <v>294</v>
      </c>
      <c r="C128" s="27"/>
      <c r="D128" s="29">
        <f>+D124-D126</f>
        <v>245869.87000000008</v>
      </c>
      <c r="E128" s="15"/>
      <c r="F128" s="30">
        <f>IF(D$12=0,0,D128/D$12)</f>
        <v>0.32708261153048035</v>
      </c>
      <c r="G128" s="15"/>
      <c r="H128" s="29">
        <f>+H124-H126</f>
        <v>-7895.8784273653582</v>
      </c>
      <c r="I128" s="15"/>
      <c r="J128" s="30">
        <f>IF(H$12=0,0,H128/H$12)</f>
        <v>-3.0875597998550663E-2</v>
      </c>
      <c r="K128" s="17"/>
      <c r="L128" s="29">
        <f>D128-H128</f>
        <v>253765.74842736544</v>
      </c>
      <c r="M128" s="17"/>
      <c r="N128" s="30">
        <f>IF(H128=0,0,L128/H128)</f>
        <v>-32.139014140322857</v>
      </c>
      <c r="O128" s="28"/>
      <c r="P128" s="29">
        <f>+P124-P126</f>
        <v>1015656.1100000003</v>
      </c>
      <c r="Q128" s="15"/>
      <c r="R128" s="30">
        <f>IF(P$12=0,0,P128/P$12)</f>
        <v>0.25154067395411273</v>
      </c>
      <c r="S128" s="15"/>
      <c r="T128" s="29">
        <f>+T124-T126</f>
        <v>92755.053928984329</v>
      </c>
      <c r="U128" s="15"/>
      <c r="V128" s="30">
        <f>IF(T$12=0,0,T128/T$12)</f>
        <v>3.4361143139049775E-2</v>
      </c>
      <c r="W128" s="17"/>
      <c r="X128" s="29">
        <f>P128-T128</f>
        <v>922901.05607101601</v>
      </c>
      <c r="Y128" s="17"/>
      <c r="Z128" s="30">
        <f>IF(T128=0,0,X128/T128)</f>
        <v>9.9498735322563974</v>
      </c>
    </row>
    <row r="129" spans="1:26" ht="15" customHeight="1" x14ac:dyDescent="0.3">
      <c r="A129" s="10"/>
      <c r="B129" s="10"/>
      <c r="C129" s="10"/>
      <c r="D129" s="4"/>
      <c r="E129" s="4"/>
      <c r="F129" s="9"/>
      <c r="G129" s="4"/>
      <c r="H129" s="4"/>
      <c r="I129" s="4"/>
      <c r="J129" s="9"/>
      <c r="K129" s="4"/>
      <c r="L129" s="4"/>
      <c r="M129" s="4"/>
      <c r="N129" s="9"/>
      <c r="P129" s="4"/>
      <c r="Q129" s="4"/>
      <c r="R129" s="9"/>
      <c r="S129" s="4"/>
      <c r="T129" s="4"/>
      <c r="U129" s="4"/>
      <c r="V129" s="9"/>
      <c r="W129" s="4"/>
      <c r="X129" s="4"/>
      <c r="Y129" s="4"/>
      <c r="Z129" s="9"/>
    </row>
    <row r="130" spans="1:26" ht="15" customHeight="1" x14ac:dyDescent="0.3">
      <c r="A130" s="10"/>
      <c r="B130" s="10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3">
      <c r="A131" s="11"/>
      <c r="B131" s="27" t="s">
        <v>297</v>
      </c>
      <c r="C131" s="27"/>
      <c r="D131" s="32">
        <f>SUM(D128:D130)</f>
        <v>245869.87000000008</v>
      </c>
      <c r="E131" s="15"/>
      <c r="F131" s="34">
        <f>IF(D$12=0,0,D131/D$12)</f>
        <v>0.32708261153048035</v>
      </c>
      <c r="G131" s="15"/>
      <c r="H131" s="32">
        <f>SUM(H128:H130)</f>
        <v>-7895.8784273653582</v>
      </c>
      <c r="I131" s="15"/>
      <c r="J131" s="34">
        <f>IF(H$12=0,0,H131/H$12)</f>
        <v>-3.0875597998550663E-2</v>
      </c>
      <c r="K131" s="17"/>
      <c r="L131" s="32">
        <f>+D131-H131</f>
        <v>253765.74842736544</v>
      </c>
      <c r="M131" s="17"/>
      <c r="N131" s="34">
        <f>IF(H131=0,0,L131/H131)</f>
        <v>-32.139014140322857</v>
      </c>
      <c r="O131" s="28"/>
      <c r="P131" s="32">
        <f>SUM(P128:P130)</f>
        <v>1015656.1100000003</v>
      </c>
      <c r="Q131" s="15"/>
      <c r="R131" s="34">
        <f>IF(P$12=0,0,P131/P$12)</f>
        <v>0.25154067395411273</v>
      </c>
      <c r="S131" s="15"/>
      <c r="T131" s="32">
        <f>SUM(T128:T130)</f>
        <v>92755.053928984329</v>
      </c>
      <c r="U131" s="15"/>
      <c r="V131" s="34">
        <f>IF(T$12=0,0,T131/T$12)</f>
        <v>3.4361143139049775E-2</v>
      </c>
      <c r="W131" s="17"/>
      <c r="X131" s="32">
        <f>+P131-T131</f>
        <v>922901.05607101601</v>
      </c>
      <c r="Y131" s="17"/>
      <c r="Z131" s="34">
        <f>IF(T131=0,0,X131/T131)</f>
        <v>9.9498735322563974</v>
      </c>
    </row>
    <row r="132" spans="1:26" ht="15" customHeight="1" x14ac:dyDescent="0.3">
      <c r="A132" s="10"/>
      <c r="C132" s="10"/>
      <c r="D132" s="19"/>
      <c r="E132" s="19"/>
      <c r="G132" s="19"/>
      <c r="H132" s="19"/>
      <c r="I132" s="19"/>
      <c r="J132" s="40"/>
      <c r="K132" s="19"/>
      <c r="L132" s="19"/>
      <c r="M132" s="19"/>
      <c r="P132" s="19"/>
      <c r="Q132" s="19"/>
      <c r="R132" s="40"/>
      <c r="S132" s="19"/>
      <c r="T132" s="19"/>
      <c r="U132" s="19"/>
      <c r="V132" s="40"/>
      <c r="W132" s="19"/>
      <c r="X132" s="19"/>
    </row>
    <row r="133" spans="1:26" ht="15" customHeight="1" x14ac:dyDescent="0.3">
      <c r="A133" s="10"/>
      <c r="B133" s="56">
        <v>44694.888518784719</v>
      </c>
      <c r="D133" s="19"/>
      <c r="E133" s="19"/>
      <c r="G133" s="19"/>
      <c r="H133" s="19"/>
      <c r="I133" s="19"/>
      <c r="J133" s="40"/>
      <c r="K133" s="19"/>
      <c r="L133" s="19"/>
      <c r="M133" s="19"/>
      <c r="P133" s="19"/>
      <c r="Q133" s="19"/>
      <c r="R133" s="40"/>
      <c r="S133" s="19"/>
      <c r="T133" s="19"/>
      <c r="U133" s="19"/>
      <c r="V133" s="40"/>
      <c r="W133" s="19"/>
      <c r="X133" s="19"/>
    </row>
    <row r="134" spans="1:26" ht="15" customHeight="1" x14ac:dyDescent="0.3">
      <c r="A134" s="10"/>
      <c r="B134" s="50" t="s">
        <v>298</v>
      </c>
      <c r="D134" s="19"/>
      <c r="E134" s="19"/>
      <c r="G134" s="19"/>
      <c r="H134" s="19"/>
      <c r="I134" s="19"/>
      <c r="J134" s="40"/>
      <c r="K134" s="19"/>
      <c r="L134" s="19"/>
      <c r="M134" s="19"/>
      <c r="P134" s="19"/>
      <c r="Q134" s="19"/>
      <c r="R134" s="40"/>
      <c r="S134" s="19"/>
      <c r="T134" s="19"/>
      <c r="U134" s="19"/>
      <c r="V134" s="40"/>
      <c r="W134" s="19"/>
      <c r="X134" s="19"/>
    </row>
    <row r="135" spans="1:26" ht="15" customHeight="1" x14ac:dyDescent="0.3">
      <c r="A135" s="10"/>
      <c r="B135" s="51"/>
      <c r="D135" s="19"/>
      <c r="E135" s="19"/>
      <c r="G135" s="19"/>
      <c r="H135" s="19"/>
      <c r="I135" s="19"/>
      <c r="J135" s="40"/>
      <c r="K135" s="19"/>
      <c r="L135" s="19"/>
      <c r="M135" s="19"/>
      <c r="P135" s="19"/>
      <c r="Q135" s="19"/>
      <c r="R135" s="40"/>
      <c r="S135" s="19"/>
      <c r="T135" s="19"/>
      <c r="U135" s="19"/>
      <c r="V135" s="40"/>
      <c r="W135" s="19"/>
      <c r="X135" s="19"/>
    </row>
    <row r="136" spans="1:26" ht="15" customHeight="1" x14ac:dyDescent="0.3">
      <c r="D136" s="19"/>
      <c r="E136" s="19"/>
      <c r="G136" s="19"/>
      <c r="H136" s="19"/>
      <c r="I136" s="19"/>
      <c r="J136" s="40"/>
      <c r="K136" s="19"/>
      <c r="L136" s="19"/>
      <c r="M136" s="19"/>
      <c r="P136" s="19"/>
      <c r="Q136" s="19"/>
      <c r="R136" s="40"/>
      <c r="S136" s="19"/>
      <c r="T136" s="19"/>
      <c r="U136" s="19"/>
      <c r="V136" s="40"/>
      <c r="W136" s="19"/>
      <c r="X1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986F3-077D-C6C2-916C-F411BC905651}">
  <sheetPr>
    <tabColor rgb="FF92D050"/>
    <outlinePr summaryBelow="0" summaryRight="0"/>
  </sheetPr>
  <dimension ref="A2:Z12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","315"," - ","Bookstore Retail")</f>
        <v>Department 315 - Bookstore Retail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706063.1100000001</v>
      </c>
      <c r="E12" s="5"/>
      <c r="F12" s="13"/>
      <c r="G12" s="5"/>
      <c r="H12" s="5">
        <f>SUM(OSRRefH13x_0)</f>
        <v>195077</v>
      </c>
      <c r="I12" s="5"/>
      <c r="J12" s="13"/>
      <c r="K12" s="5"/>
      <c r="L12" s="5">
        <f t="shared" ref="L12:L17" si="0">+D12-H12</f>
        <v>510986.1100000001</v>
      </c>
      <c r="M12" s="5"/>
      <c r="N12" s="13">
        <f t="shared" ref="N12:N17" si="1">IF(H12=0,0,L12/H12)</f>
        <v>2.6194072596974531</v>
      </c>
      <c r="O12" s="11"/>
      <c r="P12" s="5">
        <f>SUM(OSRRefP13x_0)</f>
        <v>3701324.1399999997</v>
      </c>
      <c r="Q12" s="5"/>
      <c r="R12" s="13"/>
      <c r="S12" s="5"/>
      <c r="T12" s="5">
        <f>SUM(OSRRefT13x_0)</f>
        <v>2396084</v>
      </c>
      <c r="U12" s="5"/>
      <c r="V12" s="13"/>
      <c r="W12" s="5"/>
      <c r="X12" s="5">
        <f t="shared" ref="X12:X17" si="2">+P12-T12</f>
        <v>1305240.1399999997</v>
      </c>
      <c r="Y12" s="5"/>
      <c r="Z12" s="13">
        <f t="shared" ref="Z12:Z17" si="3">IF(T12=0,0,X12/T12)</f>
        <v>0.54473889062320002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--628817.79</f>
        <v>628817.79</v>
      </c>
      <c r="E13" s="3"/>
      <c r="F13" s="20"/>
      <c r="G13" s="3"/>
      <c r="H13" s="3">
        <v>195077</v>
      </c>
      <c r="I13" s="3"/>
      <c r="J13" s="20"/>
      <c r="K13" s="3"/>
      <c r="L13" s="3">
        <f t="shared" si="0"/>
        <v>433740.79000000004</v>
      </c>
      <c r="M13" s="3"/>
      <c r="N13" s="20">
        <f t="shared" si="1"/>
        <v>2.2234337723052948</v>
      </c>
      <c r="O13" s="12"/>
      <c r="P13" s="3">
        <f>--3397409.84</f>
        <v>3397409.84</v>
      </c>
      <c r="Q13" s="3"/>
      <c r="R13" s="20"/>
      <c r="S13" s="3"/>
      <c r="T13" s="3">
        <v>2396084</v>
      </c>
      <c r="U13" s="3"/>
      <c r="V13" s="20"/>
      <c r="W13" s="3"/>
      <c r="X13" s="3">
        <f t="shared" si="2"/>
        <v>1001325.8399999999</v>
      </c>
      <c r="Y13" s="3"/>
      <c r="Z13" s="20">
        <f t="shared" si="3"/>
        <v>0.41790097509102347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--112286.4</f>
        <v>112286.39999999999</v>
      </c>
      <c r="E14" s="3"/>
      <c r="F14" s="20"/>
      <c r="G14" s="3"/>
      <c r="H14" s="3"/>
      <c r="I14" s="3"/>
      <c r="J14" s="20"/>
      <c r="K14" s="3"/>
      <c r="L14" s="3">
        <f t="shared" si="0"/>
        <v>112286.39999999999</v>
      </c>
      <c r="M14" s="3"/>
      <c r="N14" s="20">
        <f t="shared" si="1"/>
        <v>0</v>
      </c>
      <c r="O14" s="12"/>
      <c r="P14" s="3">
        <f>--498543.26</f>
        <v>498543.26</v>
      </c>
      <c r="Q14" s="3"/>
      <c r="R14" s="20"/>
      <c r="S14" s="3"/>
      <c r="T14" s="3"/>
      <c r="U14" s="3"/>
      <c r="V14" s="20"/>
      <c r="W14" s="3"/>
      <c r="X14" s="3">
        <f t="shared" si="2"/>
        <v>498543.26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-19926.32</f>
        <v>-19926.32</v>
      </c>
      <c r="E15" s="3"/>
      <c r="F15" s="20"/>
      <c r="G15" s="3"/>
      <c r="H15" s="3"/>
      <c r="I15" s="3"/>
      <c r="J15" s="20"/>
      <c r="K15" s="3"/>
      <c r="L15" s="3">
        <f t="shared" si="0"/>
        <v>-19926.32</v>
      </c>
      <c r="M15" s="3"/>
      <c r="N15" s="20">
        <f t="shared" si="1"/>
        <v>0</v>
      </c>
      <c r="O15" s="12"/>
      <c r="P15" s="3">
        <f>-101332.55</f>
        <v>-101332.55</v>
      </c>
      <c r="Q15" s="3"/>
      <c r="R15" s="20"/>
      <c r="S15" s="3"/>
      <c r="T15" s="3"/>
      <c r="U15" s="3"/>
      <c r="V15" s="20"/>
      <c r="W15" s="3"/>
      <c r="X15" s="3">
        <f t="shared" si="2"/>
        <v>-101332.55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-1251.61</f>
        <v>-1251.6099999999999</v>
      </c>
      <c r="E16" s="3"/>
      <c r="F16" s="20"/>
      <c r="G16" s="3"/>
      <c r="H16" s="3"/>
      <c r="I16" s="3"/>
      <c r="J16" s="20"/>
      <c r="K16" s="3"/>
      <c r="L16" s="3">
        <f t="shared" si="0"/>
        <v>-1251.6099999999999</v>
      </c>
      <c r="M16" s="3"/>
      <c r="N16" s="20">
        <f t="shared" si="1"/>
        <v>0</v>
      </c>
      <c r="O16" s="12"/>
      <c r="P16" s="3">
        <f>-3150.14</f>
        <v>-3150.14</v>
      </c>
      <c r="Q16" s="3"/>
      <c r="R16" s="20"/>
      <c r="S16" s="3"/>
      <c r="T16" s="3"/>
      <c r="U16" s="3"/>
      <c r="V16" s="20"/>
      <c r="W16" s="3"/>
      <c r="X16" s="3">
        <f t="shared" si="2"/>
        <v>-3150.14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-13863.15</f>
        <v>-13863.15</v>
      </c>
      <c r="E17" s="3"/>
      <c r="F17" s="20"/>
      <c r="G17" s="3"/>
      <c r="H17" s="3"/>
      <c r="I17" s="3"/>
      <c r="J17" s="20"/>
      <c r="K17" s="3"/>
      <c r="L17" s="3">
        <f t="shared" si="0"/>
        <v>-13863.15</v>
      </c>
      <c r="M17" s="3"/>
      <c r="N17" s="20">
        <f t="shared" si="1"/>
        <v>0</v>
      </c>
      <c r="O17" s="12"/>
      <c r="P17" s="3">
        <f>-90146.27</f>
        <v>-90146.27</v>
      </c>
      <c r="Q17" s="3"/>
      <c r="R17" s="20"/>
      <c r="S17" s="3"/>
      <c r="T17" s="3"/>
      <c r="U17" s="3"/>
      <c r="V17" s="20"/>
      <c r="W17" s="3"/>
      <c r="X17" s="3">
        <f t="shared" si="2"/>
        <v>-90146.27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310892.98</v>
      </c>
      <c r="E19" s="5"/>
      <c r="F19" s="13">
        <f t="shared" ref="F19:F38" si="4">IF(D$12=0,0,D19/D$12)</f>
        <v>0.44031896808771093</v>
      </c>
      <c r="G19" s="5"/>
      <c r="H19" s="5">
        <f>SUM(OSRRefH16x_0)</f>
        <v>95985</v>
      </c>
      <c r="I19" s="5"/>
      <c r="J19" s="13">
        <f t="shared" ref="J19:J38" si="5">IF(H$12=0,0,H19/H$12)</f>
        <v>0.49203647790359706</v>
      </c>
      <c r="K19" s="5"/>
      <c r="L19" s="5">
        <f t="shared" ref="L19:L38" si="6">+D19-H19</f>
        <v>214907.97999999998</v>
      </c>
      <c r="M19" s="5"/>
      <c r="N19" s="13">
        <f t="shared" ref="N19:N38" si="7">IF(H19=0,0,L19/H19)</f>
        <v>2.2389746314528312</v>
      </c>
      <c r="O19" s="11"/>
      <c r="P19" s="5">
        <f>SUM(OSRRefP16x_0)</f>
        <v>1737833.0600000003</v>
      </c>
      <c r="Q19" s="5"/>
      <c r="R19" s="13">
        <f t="shared" ref="R19:R38" si="8">IF(P$12=0,0,P19/P$12)</f>
        <v>0.46951658224669846</v>
      </c>
      <c r="S19" s="5"/>
      <c r="T19" s="5">
        <f>SUM(OSRRefT16x_0)</f>
        <v>1231373</v>
      </c>
      <c r="U19" s="5"/>
      <c r="V19" s="13">
        <f t="shared" ref="V19:V38" si="9">IF(T$12=0,0,T19/T$12)</f>
        <v>0.51391061415209149</v>
      </c>
      <c r="W19" s="5"/>
      <c r="X19" s="5">
        <f t="shared" ref="X19:X38" si="10">+P19-T19</f>
        <v>506460.06000000029</v>
      </c>
      <c r="Y19" s="5"/>
      <c r="Z19" s="13">
        <f t="shared" ref="Z19:Z38" si="11">IF(T19=0,0,X19/T19)</f>
        <v>0.41129703184981342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324756.86</v>
      </c>
      <c r="E20" s="3"/>
      <c r="F20" s="20">
        <f t="shared" si="4"/>
        <v>0.45995443665085395</v>
      </c>
      <c r="G20" s="3"/>
      <c r="H20" s="3">
        <v>95985</v>
      </c>
      <c r="I20" s="3"/>
      <c r="J20" s="20">
        <f t="shared" si="5"/>
        <v>0.49203647790359706</v>
      </c>
      <c r="K20" s="3"/>
      <c r="L20" s="3">
        <f t="shared" si="6"/>
        <v>228771.86</v>
      </c>
      <c r="M20" s="3"/>
      <c r="N20" s="20">
        <f t="shared" si="7"/>
        <v>2.3834126165546698</v>
      </c>
      <c r="O20" s="12"/>
      <c r="P20" s="3">
        <v>2105977.2400000002</v>
      </c>
      <c r="Q20" s="3"/>
      <c r="R20" s="20">
        <f t="shared" si="8"/>
        <v>0.56897941394562657</v>
      </c>
      <c r="S20" s="3"/>
      <c r="T20" s="3">
        <v>1231373</v>
      </c>
      <c r="U20" s="3"/>
      <c r="V20" s="20">
        <f t="shared" si="9"/>
        <v>0.51391061415209149</v>
      </c>
      <c r="W20" s="3"/>
      <c r="X20" s="3">
        <f t="shared" si="10"/>
        <v>874604.24000000022</v>
      </c>
      <c r="Y20" s="3"/>
      <c r="Z20" s="20">
        <f t="shared" si="11"/>
        <v>0.71026751439247104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","5200"," - ","PURCHASES OFFSET")</f>
        <v xml:space="preserve">          5200 - PURCHASES OFFSET</v>
      </c>
      <c r="C30" s="12"/>
      <c r="D30" s="3">
        <v>-357289.81</v>
      </c>
      <c r="E30" s="3"/>
      <c r="F30" s="20">
        <f t="shared" si="4"/>
        <v>-0.5060309835476321</v>
      </c>
      <c r="G30" s="3"/>
      <c r="H30" s="3"/>
      <c r="I30" s="3"/>
      <c r="J30" s="20">
        <f t="shared" si="5"/>
        <v>0</v>
      </c>
      <c r="K30" s="3"/>
      <c r="L30" s="3">
        <f t="shared" si="6"/>
        <v>-357289.81</v>
      </c>
      <c r="M30" s="3"/>
      <c r="N30" s="20">
        <f t="shared" si="7"/>
        <v>0</v>
      </c>
      <c r="O30" s="12"/>
      <c r="P30" s="3">
        <v>-2211728.83</v>
      </c>
      <c r="Q30" s="3"/>
      <c r="R30" s="20">
        <f t="shared" si="8"/>
        <v>-0.59755069978821151</v>
      </c>
      <c r="S30" s="3"/>
      <c r="T30" s="3"/>
      <c r="U30" s="3"/>
      <c r="V30" s="20">
        <f t="shared" si="9"/>
        <v>0</v>
      </c>
      <c r="W30" s="3"/>
      <c r="X30" s="3">
        <f t="shared" si="10"/>
        <v>-2211728.83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","5300"," - ","COG$ OFFSET")</f>
        <v xml:space="preserve">          5300 - COG$ OFFSET</v>
      </c>
      <c r="C31" s="12"/>
      <c r="D31" s="3">
        <v>310892.98</v>
      </c>
      <c r="E31" s="3"/>
      <c r="F31" s="20">
        <f t="shared" si="4"/>
        <v>0.44031896808771093</v>
      </c>
      <c r="G31" s="3"/>
      <c r="H31" s="3"/>
      <c r="I31" s="3"/>
      <c r="J31" s="20">
        <f t="shared" si="5"/>
        <v>0</v>
      </c>
      <c r="K31" s="3"/>
      <c r="L31" s="3">
        <f t="shared" si="6"/>
        <v>310892.98</v>
      </c>
      <c r="M31" s="3"/>
      <c r="N31" s="20">
        <f t="shared" si="7"/>
        <v>0</v>
      </c>
      <c r="O31" s="12"/>
      <c r="P31" s="3">
        <v>1740833.06</v>
      </c>
      <c r="Q31" s="3"/>
      <c r="R31" s="20">
        <f t="shared" si="8"/>
        <v>0.47032710299184988</v>
      </c>
      <c r="S31" s="3"/>
      <c r="T31" s="3"/>
      <c r="U31" s="3"/>
      <c r="V31" s="20">
        <f t="shared" si="9"/>
        <v>0</v>
      </c>
      <c r="W31" s="3"/>
      <c r="X31" s="3">
        <f t="shared" si="10"/>
        <v>1740833.06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","5500"," - ","FREIGHT-IN")</f>
        <v xml:space="preserve">          5500 - FREIGHT-IN</v>
      </c>
      <c r="C32" s="12"/>
      <c r="D32" s="3">
        <v>32532.95</v>
      </c>
      <c r="E32" s="3"/>
      <c r="F32" s="20">
        <f t="shared" si="4"/>
        <v>4.6076546896778099E-2</v>
      </c>
      <c r="G32" s="3"/>
      <c r="H32" s="3"/>
      <c r="I32" s="3"/>
      <c r="J32" s="20">
        <f t="shared" si="5"/>
        <v>0</v>
      </c>
      <c r="K32" s="3"/>
      <c r="L32" s="3">
        <f t="shared" si="6"/>
        <v>32532.95</v>
      </c>
      <c r="M32" s="3"/>
      <c r="N32" s="20">
        <f t="shared" si="7"/>
        <v>0</v>
      </c>
      <c r="O32" s="12"/>
      <c r="P32" s="3">
        <v>102751.59</v>
      </c>
      <c r="Q32" s="3"/>
      <c r="R32" s="20">
        <f t="shared" si="8"/>
        <v>2.7760765097433485E-2</v>
      </c>
      <c r="S32" s="3"/>
      <c r="T32" s="3"/>
      <c r="U32" s="3"/>
      <c r="V32" s="20">
        <f t="shared" si="9"/>
        <v>0</v>
      </c>
      <c r="W32" s="3"/>
      <c r="X32" s="3">
        <f t="shared" si="10"/>
        <v>102751.59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289</v>
      </c>
      <c r="C40" s="27"/>
      <c r="D40" s="21">
        <f>D12-D19</f>
        <v>395170.13000000012</v>
      </c>
      <c r="E40" s="15"/>
      <c r="F40" s="23">
        <f>IF(D$12=0,0,D40/D$12)</f>
        <v>0.55968103191228902</v>
      </c>
      <c r="G40" s="15"/>
      <c r="H40" s="21">
        <f>H12-H19</f>
        <v>99092</v>
      </c>
      <c r="I40" s="15"/>
      <c r="J40" s="23">
        <f>IF(H$12=0,0,H40/H$12)</f>
        <v>0.50796352209640294</v>
      </c>
      <c r="K40" s="17"/>
      <c r="L40" s="21">
        <f>+D40-H40</f>
        <v>296078.13000000012</v>
      </c>
      <c r="M40" s="17"/>
      <c r="N40" s="23">
        <f>IF(H40=0,0,L40/H40)</f>
        <v>2.987911536753725</v>
      </c>
      <c r="O40" s="28"/>
      <c r="P40" s="21">
        <f>P12-P19</f>
        <v>1963491.0799999994</v>
      </c>
      <c r="Q40" s="15"/>
      <c r="R40" s="23">
        <f>IF(P$12=0,0,P40/P$12)</f>
        <v>0.53048341775330154</v>
      </c>
      <c r="S40" s="15"/>
      <c r="T40" s="21">
        <f>T12-T19</f>
        <v>1164711</v>
      </c>
      <c r="U40" s="15"/>
      <c r="V40" s="23">
        <f>IF(T$12=0,0,T40/T$12)</f>
        <v>0.48608938584790851</v>
      </c>
      <c r="W40" s="17"/>
      <c r="X40" s="21">
        <f>+P40-T40</f>
        <v>798780.07999999938</v>
      </c>
      <c r="Y40" s="17"/>
      <c r="Z40" s="23">
        <f>IF(T40=0,0,X40/T40)</f>
        <v>0.68581826736417817</v>
      </c>
    </row>
    <row r="41" spans="1:26" ht="15" customHeight="1" x14ac:dyDescent="0.3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3">
      <c r="A42" s="11"/>
      <c r="B42" s="28" t="s">
        <v>290</v>
      </c>
      <c r="C42" s="11"/>
      <c r="D42" s="22" cm="1">
        <f t="array" ref="D42">SUM(OSRRefD22x_0)</f>
        <v>121453.51000000001</v>
      </c>
      <c r="E42" s="22"/>
      <c r="F42" s="33">
        <f t="shared" ref="F42:F73" si="12">IF(D$12=0,0,D42/D$12)</f>
        <v>0.1720150908323195</v>
      </c>
      <c r="G42" s="22"/>
      <c r="H42" s="22" cm="1">
        <f t="array" ref="H42">SUM(OSRRefH22x_0)</f>
        <v>110932.46949740386</v>
      </c>
      <c r="I42" s="22"/>
      <c r="J42" s="33">
        <f t="shared" ref="J42:J73" si="13">IF(H$12=0,0,H42/H$12)</f>
        <v>0.56865991120123771</v>
      </c>
      <c r="K42" s="5"/>
      <c r="L42" s="22">
        <f t="shared" ref="L42:L73" si="14">+D42-H42</f>
        <v>10521.040502596152</v>
      </c>
      <c r="M42" s="5"/>
      <c r="N42" s="33">
        <f t="shared" ref="N42:N73" si="15">IF(H42=0,0,L42/H42)</f>
        <v>9.4841848831665784E-2</v>
      </c>
      <c r="O42" s="11"/>
      <c r="P42" s="22" cm="1">
        <f t="array" ref="P42">SUM(OSRRefP22x_0)</f>
        <v>863195.91000000027</v>
      </c>
      <c r="Q42" s="22"/>
      <c r="R42" s="33">
        <f t="shared" ref="R42:R73" si="16">IF(P$12=0,0,P42/P$12)</f>
        <v>0.23321273072830642</v>
      </c>
      <c r="S42" s="22"/>
      <c r="T42" s="22" cm="1">
        <f t="array" ref="T42">SUM(OSRRefT22x_0)</f>
        <v>876439.98025315395</v>
      </c>
      <c r="U42" s="22"/>
      <c r="V42" s="33">
        <f t="shared" ref="V42:V73" si="17">IF(T$12=0,0,T42/T$12)</f>
        <v>0.36578015639399702</v>
      </c>
      <c r="W42" s="5"/>
      <c r="X42" s="22">
        <f t="shared" ref="X42:X73" si="18">+P42-T42</f>
        <v>-13244.070253153681</v>
      </c>
      <c r="Y42" s="5"/>
      <c r="Z42" s="33">
        <f t="shared" ref="Z42:Z73" si="19">IF(T42=0,0,X42/T42)</f>
        <v>-1.5111211893058802E-2</v>
      </c>
    </row>
    <row r="43" spans="1:26" s="69" customFormat="1" ht="15" customHeight="1" outlineLevel="1" collapsed="1" x14ac:dyDescent="0.3">
      <c r="A43" s="25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12636.570000000002</v>
      </c>
      <c r="E43" s="2"/>
      <c r="F43" s="6">
        <f t="shared" si="12"/>
        <v>1.7897224512975901E-2</v>
      </c>
      <c r="G43" s="2"/>
      <c r="H43" s="2">
        <f>SUM(OSRRefH22_0x_0)</f>
        <v>20883.481997403855</v>
      </c>
      <c r="I43" s="2"/>
      <c r="J43" s="6">
        <f t="shared" si="13"/>
        <v>0.10705250745810041</v>
      </c>
      <c r="K43" s="2"/>
      <c r="L43" s="2">
        <f t="shared" si="14"/>
        <v>-8246.9119974038531</v>
      </c>
      <c r="M43" s="2"/>
      <c r="N43" s="6">
        <f t="shared" si="15"/>
        <v>-0.39490119504156795</v>
      </c>
      <c r="O43" s="14"/>
      <c r="P43" s="2">
        <f>SUM(OSRRefP22_0x_0)</f>
        <v>133265.07</v>
      </c>
      <c r="Q43" s="2"/>
      <c r="R43" s="6">
        <f t="shared" si="16"/>
        <v>3.6004701279688522E-2</v>
      </c>
      <c r="S43" s="2"/>
      <c r="T43" s="2">
        <f>SUM(OSRRefT22_0x_0)</f>
        <v>183351.05025315392</v>
      </c>
      <c r="U43" s="2"/>
      <c r="V43" s="6">
        <f t="shared" si="17"/>
        <v>7.6521127912524745E-2</v>
      </c>
      <c r="W43" s="2"/>
      <c r="X43" s="2">
        <f t="shared" si="18"/>
        <v>-50085.980253153917</v>
      </c>
      <c r="Y43" s="2"/>
      <c r="Z43" s="6">
        <f t="shared" si="19"/>
        <v>-0.27316985740741545</v>
      </c>
    </row>
    <row r="44" spans="1:26" s="70" customFormat="1" ht="15" hidden="1" customHeight="1" outlineLevel="2" x14ac:dyDescent="0.3">
      <c r="A44" s="26"/>
      <c r="B44" s="12" t="str">
        <f>CONCATENATE("          ","6111"," - ","F.I.C.A.")</f>
        <v xml:space="preserve">          6111 - F.I.C.A.</v>
      </c>
      <c r="C44" s="12"/>
      <c r="D44" s="7">
        <v>2755.2</v>
      </c>
      <c r="E44" s="3"/>
      <c r="F44" s="8">
        <f t="shared" si="12"/>
        <v>3.9022007536974978E-3</v>
      </c>
      <c r="G44" s="3"/>
      <c r="H44" s="7">
        <v>5545.8134137500001</v>
      </c>
      <c r="I44" s="3"/>
      <c r="J44" s="8">
        <f t="shared" si="13"/>
        <v>2.8428843040184133E-2</v>
      </c>
      <c r="K44" s="3"/>
      <c r="L44" s="7">
        <f t="shared" si="14"/>
        <v>-2790.6134137500003</v>
      </c>
      <c r="M44" s="3"/>
      <c r="N44" s="8">
        <f t="shared" si="15"/>
        <v>-0.50319280609605421</v>
      </c>
      <c r="O44" s="12"/>
      <c r="P44" s="7">
        <v>24417.46</v>
      </c>
      <c r="Q44" s="3"/>
      <c r="R44" s="8">
        <f t="shared" si="16"/>
        <v>6.5969526246355721E-3</v>
      </c>
      <c r="S44" s="3"/>
      <c r="T44" s="7">
        <v>42889.011477</v>
      </c>
      <c r="U44" s="3"/>
      <c r="V44" s="8">
        <f t="shared" si="17"/>
        <v>1.7899627674572344E-2</v>
      </c>
      <c r="W44" s="3"/>
      <c r="X44" s="7">
        <f t="shared" si="18"/>
        <v>-18471.551477000001</v>
      </c>
      <c r="Y44" s="3"/>
      <c r="Z44" s="8">
        <f t="shared" si="19"/>
        <v>-0.43068261171992039</v>
      </c>
    </row>
    <row r="45" spans="1:26" s="70" customFormat="1" ht="15" hidden="1" customHeight="1" outlineLevel="2" x14ac:dyDescent="0.3">
      <c r="A45" s="26"/>
      <c r="B45" s="12" t="str">
        <f>CONCATENATE("          ","6112"," - ","COMPENSATION INSURANCE")</f>
        <v xml:space="preserve">          6112 - COMPENSATION INSURANCE</v>
      </c>
      <c r="C45" s="12"/>
      <c r="D45" s="7">
        <v>915.44</v>
      </c>
      <c r="E45" s="3"/>
      <c r="F45" s="8">
        <f t="shared" si="12"/>
        <v>1.2965413247549499E-3</v>
      </c>
      <c r="G45" s="3"/>
      <c r="H45" s="7">
        <v>1130.46765</v>
      </c>
      <c r="I45" s="3"/>
      <c r="J45" s="8">
        <f t="shared" si="13"/>
        <v>5.7949817251649353E-3</v>
      </c>
      <c r="K45" s="3"/>
      <c r="L45" s="7">
        <f t="shared" si="14"/>
        <v>-215.02764999999999</v>
      </c>
      <c r="M45" s="3"/>
      <c r="N45" s="8">
        <f t="shared" si="15"/>
        <v>-0.19021123691597897</v>
      </c>
      <c r="O45" s="12"/>
      <c r="P45" s="7">
        <v>8948.16</v>
      </c>
      <c r="Q45" s="3"/>
      <c r="R45" s="8">
        <f t="shared" si="16"/>
        <v>2.4175564369782543E-3</v>
      </c>
      <c r="S45" s="3"/>
      <c r="T45" s="7">
        <v>9711.3260399999999</v>
      </c>
      <c r="U45" s="3"/>
      <c r="V45" s="8">
        <f t="shared" si="17"/>
        <v>4.0529989933574947E-3</v>
      </c>
      <c r="W45" s="3"/>
      <c r="X45" s="7">
        <f t="shared" si="18"/>
        <v>-763.16604000000007</v>
      </c>
      <c r="Y45" s="3"/>
      <c r="Z45" s="8">
        <f t="shared" si="19"/>
        <v>-7.8585152723386481E-2</v>
      </c>
    </row>
    <row r="46" spans="1:26" s="70" customFormat="1" ht="15" hidden="1" customHeight="1" outlineLevel="2" x14ac:dyDescent="0.3">
      <c r="A46" s="26"/>
      <c r="B46" s="12" t="str">
        <f>CONCATENATE("          ","6113"," - ","GROUP INSURANCE")</f>
        <v xml:space="preserve">          6113 - GROUP INSURANCE</v>
      </c>
      <c r="C46" s="12"/>
      <c r="D46" s="7">
        <v>3347.46</v>
      </c>
      <c r="E46" s="3"/>
      <c r="F46" s="8">
        <f t="shared" si="12"/>
        <v>4.7410209549115226E-3</v>
      </c>
      <c r="G46" s="3"/>
      <c r="H46" s="7">
        <v>7393.6538461538503</v>
      </c>
      <c r="I46" s="3"/>
      <c r="J46" s="8">
        <f t="shared" si="13"/>
        <v>3.7901207452205286E-2</v>
      </c>
      <c r="K46" s="3"/>
      <c r="L46" s="7">
        <f t="shared" si="14"/>
        <v>-4046.1938461538502</v>
      </c>
      <c r="M46" s="3"/>
      <c r="N46" s="8">
        <f t="shared" si="15"/>
        <v>-0.54725226935781746</v>
      </c>
      <c r="O46" s="12"/>
      <c r="P46" s="7">
        <v>40870.839999999997</v>
      </c>
      <c r="Q46" s="3"/>
      <c r="R46" s="8">
        <f t="shared" si="16"/>
        <v>1.1042221230589115E-2</v>
      </c>
      <c r="S46" s="3"/>
      <c r="T46" s="7">
        <v>70281.153846153902</v>
      </c>
      <c r="U46" s="3"/>
      <c r="V46" s="8">
        <f t="shared" si="17"/>
        <v>2.9331673616682014E-2</v>
      </c>
      <c r="W46" s="3"/>
      <c r="X46" s="7">
        <f t="shared" si="18"/>
        <v>-29410.313846153906</v>
      </c>
      <c r="Y46" s="3"/>
      <c r="Z46" s="8">
        <f t="shared" si="19"/>
        <v>-0.41846657655241909</v>
      </c>
    </row>
    <row r="47" spans="1:26" s="70" customFormat="1" ht="15" hidden="1" customHeight="1" outlineLevel="2" x14ac:dyDescent="0.3">
      <c r="A47" s="26"/>
      <c r="B47" s="12" t="str">
        <f>CONCATENATE("          ","6114"," - ","STATE UNEMPLOYMENT INSURANCE")</f>
        <v xml:space="preserve">          6114 - STATE UNEMPLOYMENT INSURANCE</v>
      </c>
      <c r="C47" s="12"/>
      <c r="D47" s="7">
        <v>160.82</v>
      </c>
      <c r="E47" s="3"/>
      <c r="F47" s="8">
        <f t="shared" si="12"/>
        <v>2.2777000769803703E-4</v>
      </c>
      <c r="G47" s="3"/>
      <c r="H47" s="7">
        <v>152.1783375</v>
      </c>
      <c r="I47" s="3"/>
      <c r="J47" s="8">
        <f t="shared" si="13"/>
        <v>7.8009369377220281E-4</v>
      </c>
      <c r="K47" s="3"/>
      <c r="L47" s="7">
        <f t="shared" si="14"/>
        <v>8.6416624999999954</v>
      </c>
      <c r="M47" s="3"/>
      <c r="N47" s="8">
        <f t="shared" si="15"/>
        <v>5.67864167920746E-2</v>
      </c>
      <c r="O47" s="12"/>
      <c r="P47" s="7">
        <v>1573.13</v>
      </c>
      <c r="Q47" s="3"/>
      <c r="R47" s="8">
        <f t="shared" si="16"/>
        <v>4.2501816660672152E-4</v>
      </c>
      <c r="S47" s="3"/>
      <c r="T47" s="7">
        <v>1307.2938899999999</v>
      </c>
      <c r="U47" s="3"/>
      <c r="V47" s="8">
        <f t="shared" si="17"/>
        <v>5.455960183365858E-4</v>
      </c>
      <c r="W47" s="3"/>
      <c r="X47" s="7">
        <f t="shared" si="18"/>
        <v>265.83611000000019</v>
      </c>
      <c r="Y47" s="3"/>
      <c r="Z47" s="8">
        <f t="shared" si="19"/>
        <v>0.20334839169178723</v>
      </c>
    </row>
    <row r="48" spans="1:26" s="70" customFormat="1" ht="15" hidden="1" customHeight="1" outlineLevel="2" x14ac:dyDescent="0.3">
      <c r="A48" s="26"/>
      <c r="B48" s="12" t="str">
        <f>CONCATENATE("          ","6115"," - ","P.E.R.S.")</f>
        <v xml:space="preserve">          6115 - P.E.R.S.</v>
      </c>
      <c r="C48" s="12"/>
      <c r="D48" s="7">
        <v>1440.09</v>
      </c>
      <c r="E48" s="3"/>
      <c r="F48" s="8">
        <f t="shared" si="12"/>
        <v>2.0396052131940439E-3</v>
      </c>
      <c r="G48" s="3"/>
      <c r="H48" s="7">
        <v>1509.03125</v>
      </c>
      <c r="I48" s="3"/>
      <c r="J48" s="8">
        <f t="shared" si="13"/>
        <v>7.7355672375523515E-3</v>
      </c>
      <c r="K48" s="3"/>
      <c r="L48" s="7">
        <f t="shared" si="14"/>
        <v>-68.941250000000082</v>
      </c>
      <c r="M48" s="3"/>
      <c r="N48" s="8">
        <f t="shared" si="15"/>
        <v>-4.5685766944852921E-2</v>
      </c>
      <c r="O48" s="12"/>
      <c r="P48" s="7">
        <v>15156.72</v>
      </c>
      <c r="Q48" s="3"/>
      <c r="R48" s="8">
        <f t="shared" si="16"/>
        <v>4.0949453294841665E-3</v>
      </c>
      <c r="S48" s="3"/>
      <c r="T48" s="7">
        <v>13279.475</v>
      </c>
      <c r="U48" s="3"/>
      <c r="V48" s="8">
        <f t="shared" si="17"/>
        <v>5.5421575370479502E-3</v>
      </c>
      <c r="W48" s="3"/>
      <c r="X48" s="7">
        <f t="shared" si="18"/>
        <v>1877.244999999999</v>
      </c>
      <c r="Y48" s="3"/>
      <c r="Z48" s="8">
        <f t="shared" si="19"/>
        <v>0.14136439881847732</v>
      </c>
    </row>
    <row r="49" spans="1:26" s="70" customFormat="1" ht="15" hidden="1" customHeight="1" outlineLevel="2" x14ac:dyDescent="0.3">
      <c r="A49" s="26"/>
      <c r="B49" s="12" t="str">
        <f>CONCATENATE("          ","6116"," - ","EDUCATIONAL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70" customFormat="1" ht="15" hidden="1" customHeight="1" outlineLevel="2" x14ac:dyDescent="0.3">
      <c r="A50" s="26"/>
      <c r="B50" s="12" t="str">
        <f>CONCATENATE("          ","6118"," - ","VACATION")</f>
        <v xml:space="preserve">          6118 - VACATION</v>
      </c>
      <c r="C50" s="12"/>
      <c r="D50" s="7">
        <v>1724.27</v>
      </c>
      <c r="E50" s="3"/>
      <c r="F50" s="8">
        <f t="shared" si="12"/>
        <v>2.4420904811186068E-3</v>
      </c>
      <c r="G50" s="3"/>
      <c r="H50" s="7">
        <v>1392.34375</v>
      </c>
      <c r="I50" s="3"/>
      <c r="J50" s="8">
        <f t="shared" si="13"/>
        <v>7.1374059986569404E-3</v>
      </c>
      <c r="K50" s="3"/>
      <c r="L50" s="7">
        <f t="shared" si="14"/>
        <v>331.92624999999998</v>
      </c>
      <c r="M50" s="3"/>
      <c r="N50" s="8">
        <f t="shared" si="15"/>
        <v>0.23839389518572549</v>
      </c>
      <c r="O50" s="12"/>
      <c r="P50" s="7">
        <v>18904.16</v>
      </c>
      <c r="Q50" s="3"/>
      <c r="R50" s="8">
        <f t="shared" si="16"/>
        <v>5.1074046165543348E-3</v>
      </c>
      <c r="S50" s="3"/>
      <c r="T50" s="7">
        <v>12252.625</v>
      </c>
      <c r="U50" s="3"/>
      <c r="V50" s="8">
        <f t="shared" si="17"/>
        <v>5.113604114046085E-3</v>
      </c>
      <c r="W50" s="3"/>
      <c r="X50" s="7">
        <f t="shared" si="18"/>
        <v>6651.5349999999999</v>
      </c>
      <c r="Y50" s="3"/>
      <c r="Z50" s="8">
        <f t="shared" si="19"/>
        <v>0.54286612052519356</v>
      </c>
    </row>
    <row r="51" spans="1:26" s="70" customFormat="1" ht="15" hidden="1" customHeight="1" outlineLevel="2" x14ac:dyDescent="0.3">
      <c r="A51" s="26"/>
      <c r="B51" s="12" t="str">
        <f>CONCATENATE("          ","6119"," - ","SICK LEAVE")</f>
        <v xml:space="preserve">          6119 - SICK LEAVE</v>
      </c>
      <c r="C51" s="12"/>
      <c r="D51" s="7">
        <v>1627.12</v>
      </c>
      <c r="E51" s="3"/>
      <c r="F51" s="8">
        <f t="shared" si="12"/>
        <v>2.304496548474257E-3</v>
      </c>
      <c r="G51" s="3"/>
      <c r="H51" s="7">
        <v>2884.9937500000001</v>
      </c>
      <c r="I51" s="3"/>
      <c r="J51" s="8">
        <f t="shared" si="13"/>
        <v>1.4788999984621458E-2</v>
      </c>
      <c r="K51" s="3"/>
      <c r="L51" s="7">
        <f t="shared" si="14"/>
        <v>-1257.8737500000002</v>
      </c>
      <c r="M51" s="3"/>
      <c r="N51" s="8">
        <f t="shared" si="15"/>
        <v>-0.4360057105842951</v>
      </c>
      <c r="O51" s="12"/>
      <c r="P51" s="7">
        <v>16711.47</v>
      </c>
      <c r="Q51" s="3"/>
      <c r="R51" s="8">
        <f t="shared" si="16"/>
        <v>4.5149977056589278E-3</v>
      </c>
      <c r="S51" s="3"/>
      <c r="T51" s="7">
        <v>24880.165000000001</v>
      </c>
      <c r="U51" s="3"/>
      <c r="V51" s="8">
        <f t="shared" si="17"/>
        <v>1.0383678118129415E-2</v>
      </c>
      <c r="W51" s="3"/>
      <c r="X51" s="7">
        <f t="shared" si="18"/>
        <v>-8168.6949999999997</v>
      </c>
      <c r="Y51" s="3"/>
      <c r="Z51" s="8">
        <f t="shared" si="19"/>
        <v>-0.3283215766454925</v>
      </c>
    </row>
    <row r="52" spans="1:26" s="70" customFormat="1" ht="15" hidden="1" customHeight="1" outlineLevel="2" x14ac:dyDescent="0.3">
      <c r="A52" s="26"/>
      <c r="B52" s="12" t="str">
        <f>CONCATENATE("          ","6156"," - ","EMPLOYEE MEALS")</f>
        <v xml:space="preserve">          6156 - EMPLOYEE MEALS</v>
      </c>
      <c r="C52" s="12"/>
      <c r="D52" s="7">
        <v>666.17</v>
      </c>
      <c r="E52" s="3"/>
      <c r="F52" s="8">
        <f t="shared" si="12"/>
        <v>9.4349922912698257E-4</v>
      </c>
      <c r="G52" s="3"/>
      <c r="H52" s="7">
        <v>875</v>
      </c>
      <c r="I52" s="3"/>
      <c r="J52" s="8">
        <f t="shared" si="13"/>
        <v>4.4854083259430891E-3</v>
      </c>
      <c r="K52" s="3"/>
      <c r="L52" s="7">
        <f t="shared" si="14"/>
        <v>-208.83000000000004</v>
      </c>
      <c r="M52" s="3"/>
      <c r="N52" s="8">
        <f t="shared" si="15"/>
        <v>-0.23866285714285718</v>
      </c>
      <c r="O52" s="12"/>
      <c r="P52" s="7">
        <v>6683.13</v>
      </c>
      <c r="Q52" s="3"/>
      <c r="R52" s="8">
        <f t="shared" si="16"/>
        <v>1.8056051691814272E-3</v>
      </c>
      <c r="S52" s="3"/>
      <c r="T52" s="7">
        <v>8750</v>
      </c>
      <c r="U52" s="3"/>
      <c r="V52" s="8">
        <f t="shared" si="17"/>
        <v>3.6517918403528426E-3</v>
      </c>
      <c r="W52" s="3"/>
      <c r="X52" s="7">
        <f t="shared" si="18"/>
        <v>-2066.87</v>
      </c>
      <c r="Y52" s="3"/>
      <c r="Z52" s="8">
        <f t="shared" si="19"/>
        <v>-0.23621371428571428</v>
      </c>
    </row>
    <row r="53" spans="1:26" s="69" customFormat="1" ht="15" customHeight="1" outlineLevel="1" collapsed="1" x14ac:dyDescent="0.3">
      <c r="A53" s="25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74184.790000000008</v>
      </c>
      <c r="E53" s="2"/>
      <c r="F53" s="6">
        <f t="shared" si="12"/>
        <v>0.10506821408641502</v>
      </c>
      <c r="G53" s="2"/>
      <c r="H53" s="2">
        <f>SUM(OSRRefH22_1x_0)</f>
        <v>69295.987500000003</v>
      </c>
      <c r="I53" s="2"/>
      <c r="J53" s="6">
        <f t="shared" si="13"/>
        <v>0.35522377061365512</v>
      </c>
      <c r="K53" s="2"/>
      <c r="L53" s="2">
        <f t="shared" si="14"/>
        <v>4888.8025000000052</v>
      </c>
      <c r="M53" s="2"/>
      <c r="N53" s="6">
        <f t="shared" si="15"/>
        <v>7.0549575471451437E-2</v>
      </c>
      <c r="O53" s="14"/>
      <c r="P53" s="2">
        <f>SUM(OSRRefP22_1x_0)</f>
        <v>600418.5</v>
      </c>
      <c r="Q53" s="2"/>
      <c r="R53" s="6">
        <f t="shared" si="16"/>
        <v>0.16221721667424677</v>
      </c>
      <c r="S53" s="2"/>
      <c r="T53" s="2">
        <f>SUM(OSRRefT22_1x_0)</f>
        <v>594756.92999999993</v>
      </c>
      <c r="U53" s="2"/>
      <c r="V53" s="6">
        <f t="shared" si="17"/>
        <v>0.24822040045340646</v>
      </c>
      <c r="W53" s="2"/>
      <c r="X53" s="2">
        <f t="shared" si="18"/>
        <v>5661.5700000000652</v>
      </c>
      <c r="Y53" s="2"/>
      <c r="Z53" s="6">
        <f t="shared" si="19"/>
        <v>9.5191324630720421E-3</v>
      </c>
    </row>
    <row r="54" spans="1:26" s="70" customFormat="1" ht="15" hidden="1" customHeight="1" outlineLevel="2" x14ac:dyDescent="0.3">
      <c r="A54" s="26"/>
      <c r="B54" s="12" t="str">
        <f>CONCATENATE("          ","6001"," - ","ADMINISTRATIVE SALARIES")</f>
        <v xml:space="preserve">          6001 - ADMINISTRATIVE SALARIES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","6002"," - ","STAFF SALARIES")</f>
        <v xml:space="preserve">          6002 - STAFF SALARIES</v>
      </c>
      <c r="C55" s="12"/>
      <c r="D55" s="7">
        <v>12000.17</v>
      </c>
      <c r="E55" s="3"/>
      <c r="F55" s="8">
        <f t="shared" si="12"/>
        <v>1.6995888653636073E-2</v>
      </c>
      <c r="G55" s="3"/>
      <c r="H55" s="7">
        <v>15792.1875</v>
      </c>
      <c r="I55" s="3"/>
      <c r="J55" s="8">
        <f t="shared" si="13"/>
        <v>8.0953610625547859E-2</v>
      </c>
      <c r="K55" s="3"/>
      <c r="L55" s="7">
        <f t="shared" si="14"/>
        <v>-3792.0174999999999</v>
      </c>
      <c r="M55" s="3"/>
      <c r="N55" s="8">
        <f t="shared" si="15"/>
        <v>-0.24011983773622242</v>
      </c>
      <c r="O55" s="12"/>
      <c r="P55" s="7">
        <v>144736.87</v>
      </c>
      <c r="Q55" s="3"/>
      <c r="R55" s="8">
        <f t="shared" si="16"/>
        <v>3.9104078574431475E-2</v>
      </c>
      <c r="S55" s="3"/>
      <c r="T55" s="7">
        <v>138971.25</v>
      </c>
      <c r="U55" s="3"/>
      <c r="V55" s="8">
        <f t="shared" si="17"/>
        <v>5.799932306212971E-2</v>
      </c>
      <c r="W55" s="3"/>
      <c r="X55" s="7">
        <f t="shared" si="18"/>
        <v>5765.6199999999953</v>
      </c>
      <c r="Y55" s="3"/>
      <c r="Z55" s="8">
        <f t="shared" si="19"/>
        <v>4.1487861698013044E-2</v>
      </c>
    </row>
    <row r="56" spans="1:26" s="70" customFormat="1" ht="15" hidden="1" customHeight="1" outlineLevel="2" x14ac:dyDescent="0.3">
      <c r="A56" s="26"/>
      <c r="B56" s="12" t="str">
        <f>CONCATENATE("          ","6003"," - ","STAFF HOURLY-9 MONTH")</f>
        <v xml:space="preserve">          6003 - STAFF HOURLY-9 MONTH</v>
      </c>
      <c r="C56" s="12"/>
      <c r="D56" s="7"/>
      <c r="E56" s="3"/>
      <c r="F56" s="8">
        <f t="shared" si="12"/>
        <v>0</v>
      </c>
      <c r="G56" s="3"/>
      <c r="H56" s="7">
        <v>0</v>
      </c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/>
      <c r="Q56" s="3"/>
      <c r="R56" s="8">
        <f t="shared" si="16"/>
        <v>0</v>
      </c>
      <c r="S56" s="3"/>
      <c r="T56" s="7">
        <v>0</v>
      </c>
      <c r="U56" s="3"/>
      <c r="V56" s="8">
        <f t="shared" si="17"/>
        <v>0</v>
      </c>
      <c r="W56" s="3"/>
      <c r="X56" s="7">
        <f t="shared" si="18"/>
        <v>0</v>
      </c>
      <c r="Y56" s="3"/>
      <c r="Z56" s="8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","6004"," - ","STAFF HOURLY")</f>
        <v xml:space="preserve">          6004 - STAFF HOURLY</v>
      </c>
      <c r="C57" s="12"/>
      <c r="D57" s="7">
        <v>19083.689999999999</v>
      </c>
      <c r="E57" s="3"/>
      <c r="F57" s="8">
        <f t="shared" si="12"/>
        <v>2.7028306294036516E-2</v>
      </c>
      <c r="G57" s="3"/>
      <c r="H57" s="7">
        <v>16588.8</v>
      </c>
      <c r="I57" s="3"/>
      <c r="J57" s="8">
        <f t="shared" si="13"/>
        <v>8.5037190442748239E-2</v>
      </c>
      <c r="K57" s="3"/>
      <c r="L57" s="7">
        <f t="shared" si="14"/>
        <v>2494.8899999999994</v>
      </c>
      <c r="M57" s="3"/>
      <c r="N57" s="8">
        <f t="shared" si="15"/>
        <v>0.1503960503472222</v>
      </c>
      <c r="O57" s="12"/>
      <c r="P57" s="7">
        <v>98376.5</v>
      </c>
      <c r="Q57" s="3"/>
      <c r="R57" s="8">
        <f t="shared" si="16"/>
        <v>2.657873136179854E-2</v>
      </c>
      <c r="S57" s="3"/>
      <c r="T57" s="7">
        <v>143491.68</v>
      </c>
      <c r="U57" s="3"/>
      <c r="V57" s="8">
        <f t="shared" si="17"/>
        <v>5.9885913849430983E-2</v>
      </c>
      <c r="W57" s="3"/>
      <c r="X57" s="7">
        <f t="shared" si="18"/>
        <v>-45115.179999999993</v>
      </c>
      <c r="Y57" s="3"/>
      <c r="Z57" s="8">
        <f t="shared" si="19"/>
        <v>-0.31440972744900608</v>
      </c>
    </row>
    <row r="58" spans="1:26" s="70" customFormat="1" ht="15" hidden="1" customHeight="1" outlineLevel="2" x14ac:dyDescent="0.3">
      <c r="A58" s="26"/>
      <c r="B58" s="12" t="str">
        <f>CONCATENATE("          ","6005"," - ","TEMPORARY WAGES-HOURLY")</f>
        <v xml:space="preserve">          6005 - TEMPORARY WAGES-HOURLY</v>
      </c>
      <c r="C58" s="12"/>
      <c r="D58" s="7"/>
      <c r="E58" s="3"/>
      <c r="F58" s="8">
        <f t="shared" si="12"/>
        <v>0</v>
      </c>
      <c r="G58" s="3"/>
      <c r="H58" s="7">
        <v>0</v>
      </c>
      <c r="I58" s="3"/>
      <c r="J58" s="8">
        <f t="shared" si="13"/>
        <v>0</v>
      </c>
      <c r="K58" s="3"/>
      <c r="L58" s="7">
        <f t="shared" si="14"/>
        <v>0</v>
      </c>
      <c r="M58" s="3"/>
      <c r="N58" s="8">
        <f t="shared" si="15"/>
        <v>0</v>
      </c>
      <c r="O58" s="12"/>
      <c r="P58" s="7">
        <v>22430.91</v>
      </c>
      <c r="Q58" s="3"/>
      <c r="R58" s="8">
        <f t="shared" si="16"/>
        <v>6.060239295875341E-3</v>
      </c>
      <c r="S58" s="3"/>
      <c r="T58" s="7">
        <v>0</v>
      </c>
      <c r="U58" s="3"/>
      <c r="V58" s="8">
        <f t="shared" si="17"/>
        <v>0</v>
      </c>
      <c r="W58" s="3"/>
      <c r="X58" s="7">
        <f t="shared" si="18"/>
        <v>22430.91</v>
      </c>
      <c r="Y58" s="3"/>
      <c r="Z58" s="8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","6006"," - ","TEMPORARY PART TIME")</f>
        <v xml:space="preserve">          6006 - TEMPORARY PART TIME</v>
      </c>
      <c r="C59" s="12"/>
      <c r="D59" s="7"/>
      <c r="E59" s="3"/>
      <c r="F59" s="8">
        <f t="shared" si="12"/>
        <v>0</v>
      </c>
      <c r="G59" s="3"/>
      <c r="H59" s="7">
        <v>0</v>
      </c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0</v>
      </c>
      <c r="U59" s="3"/>
      <c r="V59" s="8">
        <f t="shared" si="17"/>
        <v>0</v>
      </c>
      <c r="W59" s="3"/>
      <c r="X59" s="7">
        <f t="shared" si="18"/>
        <v>0</v>
      </c>
      <c r="Y59" s="3"/>
      <c r="Z59" s="8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","6007"," - ","STUDENT HOURLY")</f>
        <v xml:space="preserve">          6007 - STUDENT HOURLY</v>
      </c>
      <c r="C60" s="12"/>
      <c r="D60" s="7">
        <v>29038.11</v>
      </c>
      <c r="E60" s="3"/>
      <c r="F60" s="8">
        <f t="shared" si="12"/>
        <v>4.1126791059796337E-2</v>
      </c>
      <c r="G60" s="3"/>
      <c r="H60" s="7">
        <v>36915</v>
      </c>
      <c r="I60" s="3"/>
      <c r="J60" s="8">
        <f t="shared" si="13"/>
        <v>0.18923296954535901</v>
      </c>
      <c r="K60" s="3"/>
      <c r="L60" s="7">
        <f t="shared" si="14"/>
        <v>-7876.8899999999994</v>
      </c>
      <c r="M60" s="3"/>
      <c r="N60" s="8">
        <f t="shared" si="15"/>
        <v>-0.21337911418122713</v>
      </c>
      <c r="O60" s="12"/>
      <c r="P60" s="7">
        <v>257532.19</v>
      </c>
      <c r="Q60" s="3"/>
      <c r="R60" s="8">
        <f t="shared" si="16"/>
        <v>6.9578394179765093E-2</v>
      </c>
      <c r="S60" s="3"/>
      <c r="T60" s="7">
        <v>250194</v>
      </c>
      <c r="U60" s="3"/>
      <c r="V60" s="8">
        <f t="shared" si="17"/>
        <v>0.10441787516631304</v>
      </c>
      <c r="W60" s="3"/>
      <c r="X60" s="7">
        <f t="shared" si="18"/>
        <v>7338.1900000000023</v>
      </c>
      <c r="Y60" s="3"/>
      <c r="Z60" s="8">
        <f t="shared" si="19"/>
        <v>2.9329999920062043E-2</v>
      </c>
    </row>
    <row r="61" spans="1:26" s="70" customFormat="1" ht="15" hidden="1" customHeight="1" outlineLevel="2" x14ac:dyDescent="0.3">
      <c r="A61" s="26"/>
      <c r="B61" s="12" t="str">
        <f>CONCATENATE("          ","6008"," - ","STUDENT HOURLY-FICA EXEMPT")</f>
        <v xml:space="preserve">          6008 - STUDENT HOURLY-FICA EXEMPT</v>
      </c>
      <c r="C61" s="12"/>
      <c r="D61" s="7">
        <v>14062.82</v>
      </c>
      <c r="E61" s="3"/>
      <c r="F61" s="8">
        <f t="shared" si="12"/>
        <v>1.9917228078946084E-2</v>
      </c>
      <c r="G61" s="3"/>
      <c r="H61" s="7">
        <v>0</v>
      </c>
      <c r="I61" s="3"/>
      <c r="J61" s="8">
        <f t="shared" si="13"/>
        <v>0</v>
      </c>
      <c r="K61" s="3"/>
      <c r="L61" s="7">
        <f t="shared" si="14"/>
        <v>14062.82</v>
      </c>
      <c r="M61" s="3"/>
      <c r="N61" s="8">
        <f t="shared" si="15"/>
        <v>0</v>
      </c>
      <c r="O61" s="12"/>
      <c r="P61" s="7">
        <v>77342.03</v>
      </c>
      <c r="Q61" s="3"/>
      <c r="R61" s="8">
        <f t="shared" si="16"/>
        <v>2.0895773262376315E-2</v>
      </c>
      <c r="S61" s="3"/>
      <c r="T61" s="7">
        <v>62100</v>
      </c>
      <c r="U61" s="3"/>
      <c r="V61" s="8">
        <f t="shared" si="17"/>
        <v>2.5917288375532744E-2</v>
      </c>
      <c r="W61" s="3"/>
      <c r="X61" s="7">
        <f t="shared" si="18"/>
        <v>15242.029999999999</v>
      </c>
      <c r="Y61" s="3"/>
      <c r="Z61" s="8">
        <f t="shared" si="19"/>
        <v>0.24544331723027374</v>
      </c>
    </row>
    <row r="62" spans="1:26" s="70" customFormat="1" ht="15" hidden="1" customHeight="1" outlineLevel="2" x14ac:dyDescent="0.3">
      <c r="A62" s="26"/>
      <c r="B62" s="12" t="str">
        <f>CONCATENATE("          ","6009"," - ","TEMPORARY-SEASONAL")</f>
        <v xml:space="preserve">          6009 - TEMPORARY-SEASONAL</v>
      </c>
      <c r="C62" s="12"/>
      <c r="D62" s="7"/>
      <c r="E62" s="3"/>
      <c r="F62" s="8">
        <f t="shared" si="12"/>
        <v>0</v>
      </c>
      <c r="G62" s="3"/>
      <c r="H62" s="7">
        <v>0</v>
      </c>
      <c r="I62" s="3"/>
      <c r="J62" s="8">
        <f t="shared" si="13"/>
        <v>0</v>
      </c>
      <c r="K62" s="3"/>
      <c r="L62" s="7">
        <f t="shared" si="14"/>
        <v>0</v>
      </c>
      <c r="M62" s="3"/>
      <c r="N62" s="8">
        <f t="shared" si="15"/>
        <v>0</v>
      </c>
      <c r="O62" s="12"/>
      <c r="P62" s="7"/>
      <c r="Q62" s="3"/>
      <c r="R62" s="8">
        <f t="shared" si="16"/>
        <v>0</v>
      </c>
      <c r="S62" s="3"/>
      <c r="T62" s="7">
        <v>0</v>
      </c>
      <c r="U62" s="3"/>
      <c r="V62" s="8">
        <f t="shared" si="17"/>
        <v>0</v>
      </c>
      <c r="W62" s="3"/>
      <c r="X62" s="7">
        <f t="shared" si="18"/>
        <v>0</v>
      </c>
      <c r="Y62" s="3"/>
      <c r="Z62" s="8">
        <f t="shared" si="19"/>
        <v>0</v>
      </c>
    </row>
    <row r="63" spans="1:26" s="70" customFormat="1" ht="15" hidden="1" customHeight="1" outlineLevel="2" x14ac:dyDescent="0.3">
      <c r="A63" s="26"/>
      <c r="B63" s="12" t="str">
        <f>CONCATENATE("          ","6010"," - ","GRATUITY")</f>
        <v xml:space="preserve">          6010 - GRATUITY</v>
      </c>
      <c r="C63" s="12"/>
      <c r="D63" s="7"/>
      <c r="E63" s="3"/>
      <c r="F63" s="8">
        <f t="shared" si="12"/>
        <v>0</v>
      </c>
      <c r="G63" s="3"/>
      <c r="H63" s="7">
        <v>0</v>
      </c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/>
      <c r="Q63" s="3"/>
      <c r="R63" s="8">
        <f t="shared" si="16"/>
        <v>0</v>
      </c>
      <c r="S63" s="3"/>
      <c r="T63" s="7">
        <v>0</v>
      </c>
      <c r="U63" s="3"/>
      <c r="V63" s="8">
        <f t="shared" si="17"/>
        <v>0</v>
      </c>
      <c r="W63" s="3"/>
      <c r="X63" s="7">
        <f t="shared" si="18"/>
        <v>0</v>
      </c>
      <c r="Y63" s="3"/>
      <c r="Z63" s="8">
        <f t="shared" si="19"/>
        <v>0</v>
      </c>
    </row>
    <row r="64" spans="1:26" s="69" customFormat="1" ht="15" customHeight="1" outlineLevel="1" collapsed="1" x14ac:dyDescent="0.3">
      <c r="A64" s="25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2164.9299999999998</v>
      </c>
      <c r="E64" s="2"/>
      <c r="F64" s="6">
        <f t="shared" si="12"/>
        <v>3.0661989974238983E-3</v>
      </c>
      <c r="G64" s="2"/>
      <c r="H64" s="2">
        <f>SUM(OSRRefH22_2x_0)</f>
        <v>50</v>
      </c>
      <c r="I64" s="2"/>
      <c r="J64" s="6">
        <f t="shared" si="13"/>
        <v>2.5630904719674795E-4</v>
      </c>
      <c r="K64" s="2"/>
      <c r="L64" s="2">
        <f t="shared" si="14"/>
        <v>2114.9299999999998</v>
      </c>
      <c r="M64" s="2"/>
      <c r="N64" s="6">
        <f t="shared" si="15"/>
        <v>42.298599999999993</v>
      </c>
      <c r="O64" s="14"/>
      <c r="P64" s="2">
        <f>SUM(OSRRefP22_2x_0)</f>
        <v>7157.82</v>
      </c>
      <c r="Q64" s="2"/>
      <c r="R64" s="6">
        <f t="shared" si="16"/>
        <v>1.9338538666867475E-3</v>
      </c>
      <c r="S64" s="2"/>
      <c r="T64" s="2">
        <f>SUM(OSRRefT22_2x_0)</f>
        <v>1900</v>
      </c>
      <c r="U64" s="2"/>
      <c r="V64" s="6">
        <f t="shared" si="17"/>
        <v>7.9296051390518858E-4</v>
      </c>
      <c r="W64" s="2"/>
      <c r="X64" s="2">
        <f t="shared" si="18"/>
        <v>5257.82</v>
      </c>
      <c r="Y64" s="2"/>
      <c r="Z64" s="6">
        <f t="shared" si="19"/>
        <v>2.7672736842105263</v>
      </c>
    </row>
    <row r="65" spans="1:26" s="70" customFormat="1" ht="15" hidden="1" customHeight="1" outlineLevel="2" x14ac:dyDescent="0.3">
      <c r="A65" s="26"/>
      <c r="B65" s="12" t="str">
        <f>CONCATENATE("          ","6362"," - ","ADVERTISING EXPENSE")</f>
        <v xml:space="preserve">          6362 - ADVERTISING EXPENSE</v>
      </c>
      <c r="C65" s="12"/>
      <c r="D65" s="7">
        <v>2164.9299999999998</v>
      </c>
      <c r="E65" s="3"/>
      <c r="F65" s="8">
        <f t="shared" si="12"/>
        <v>3.0661989974238983E-3</v>
      </c>
      <c r="G65" s="3"/>
      <c r="H65" s="7">
        <v>50</v>
      </c>
      <c r="I65" s="3"/>
      <c r="J65" s="8">
        <f t="shared" si="13"/>
        <v>2.5630904719674795E-4</v>
      </c>
      <c r="K65" s="3"/>
      <c r="L65" s="7">
        <f t="shared" si="14"/>
        <v>2114.9299999999998</v>
      </c>
      <c r="M65" s="3"/>
      <c r="N65" s="8">
        <f t="shared" si="15"/>
        <v>42.298599999999993</v>
      </c>
      <c r="O65" s="12"/>
      <c r="P65" s="7">
        <v>7157.82</v>
      </c>
      <c r="Q65" s="3"/>
      <c r="R65" s="8">
        <f t="shared" si="16"/>
        <v>1.9338538666867475E-3</v>
      </c>
      <c r="S65" s="3"/>
      <c r="T65" s="7">
        <v>1900</v>
      </c>
      <c r="U65" s="3"/>
      <c r="V65" s="8">
        <f t="shared" si="17"/>
        <v>7.9296051390518858E-4</v>
      </c>
      <c r="W65" s="3"/>
      <c r="X65" s="7">
        <f t="shared" si="18"/>
        <v>5257.82</v>
      </c>
      <c r="Y65" s="3"/>
      <c r="Z65" s="8">
        <f t="shared" si="19"/>
        <v>2.7672736842105263</v>
      </c>
    </row>
    <row r="66" spans="1:26" s="69" customFormat="1" ht="15" customHeight="1" outlineLevel="1" collapsed="1" x14ac:dyDescent="0.3">
      <c r="A66" s="25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0</v>
      </c>
      <c r="E66" s="2"/>
      <c r="F66" s="6">
        <f t="shared" si="12"/>
        <v>0</v>
      </c>
      <c r="G66" s="2"/>
      <c r="H66" s="2">
        <f>SUM(OSRRefH22_3x_0)</f>
        <v>0</v>
      </c>
      <c r="I66" s="2"/>
      <c r="J66" s="6">
        <f t="shared" si="13"/>
        <v>0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SUM(OSRRefP22_3x_0)</f>
        <v>0</v>
      </c>
      <c r="Q66" s="2"/>
      <c r="R66" s="6">
        <f t="shared" si="16"/>
        <v>0</v>
      </c>
      <c r="S66" s="2"/>
      <c r="T66" s="2">
        <f>SUM(OSRRefT22_3x_0)</f>
        <v>0</v>
      </c>
      <c r="U66" s="2"/>
      <c r="V66" s="6">
        <f t="shared" si="17"/>
        <v>0</v>
      </c>
      <c r="W66" s="2"/>
      <c r="X66" s="2">
        <f t="shared" si="18"/>
        <v>0</v>
      </c>
      <c r="Y66" s="2"/>
      <c r="Z66" s="6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","6272"," - ","CASH (OVER/SHORT)")</f>
        <v xml:space="preserve">          6272 - CASH (OVER/SHORT)</v>
      </c>
      <c r="C67" s="12"/>
      <c r="D67" s="7"/>
      <c r="E67" s="3"/>
      <c r="F67" s="8">
        <f t="shared" si="12"/>
        <v>0</v>
      </c>
      <c r="G67" s="3"/>
      <c r="H67" s="7">
        <v>0</v>
      </c>
      <c r="I67" s="3"/>
      <c r="J67" s="8">
        <f t="shared" si="13"/>
        <v>0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/>
      <c r="Q67" s="3"/>
      <c r="R67" s="8">
        <f t="shared" si="16"/>
        <v>0</v>
      </c>
      <c r="S67" s="3"/>
      <c r="T67" s="7">
        <v>0</v>
      </c>
      <c r="U67" s="3"/>
      <c r="V67" s="8">
        <f t="shared" si="17"/>
        <v>0</v>
      </c>
      <c r="W67" s="3"/>
      <c r="X67" s="7">
        <f t="shared" si="18"/>
        <v>0</v>
      </c>
      <c r="Y67" s="3"/>
      <c r="Z67" s="8">
        <f t="shared" si="19"/>
        <v>0</v>
      </c>
    </row>
    <row r="68" spans="1:26" s="69" customFormat="1" ht="15" customHeight="1" outlineLevel="1" collapsed="1" x14ac:dyDescent="0.3">
      <c r="A68" s="25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0</v>
      </c>
      <c r="E68" s="2"/>
      <c r="F68" s="6">
        <f t="shared" si="12"/>
        <v>0</v>
      </c>
      <c r="G68" s="2"/>
      <c r="H68" s="2">
        <f>SUM(OSRRefH22_4x_0)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SUM(OSRRefP22_4x_0)</f>
        <v>0</v>
      </c>
      <c r="Q68" s="2"/>
      <c r="R68" s="6">
        <f t="shared" si="16"/>
        <v>0</v>
      </c>
      <c r="S68" s="2"/>
      <c r="T68" s="2">
        <f>SUM(OSRRefT22_4x_0)</f>
        <v>0</v>
      </c>
      <c r="U68" s="2"/>
      <c r="V68" s="6">
        <f t="shared" si="17"/>
        <v>0</v>
      </c>
      <c r="W68" s="2"/>
      <c r="X68" s="2">
        <f t="shared" si="18"/>
        <v>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","6381"," - ","BANK/CREDIT CARD FEES")</f>
        <v xml:space="preserve">          6381 - BANK/CREDIT CARD FEES</v>
      </c>
      <c r="C69" s="12"/>
      <c r="D69" s="7"/>
      <c r="E69" s="3"/>
      <c r="F69" s="8">
        <f t="shared" si="12"/>
        <v>0</v>
      </c>
      <c r="G69" s="3"/>
      <c r="H69" s="7">
        <v>0</v>
      </c>
      <c r="I69" s="3"/>
      <c r="J69" s="8">
        <f t="shared" si="13"/>
        <v>0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/>
      <c r="Q69" s="3"/>
      <c r="R69" s="8">
        <f t="shared" si="16"/>
        <v>0</v>
      </c>
      <c r="S69" s="3"/>
      <c r="T69" s="7">
        <v>0</v>
      </c>
      <c r="U69" s="3"/>
      <c r="V69" s="8">
        <f t="shared" si="17"/>
        <v>0</v>
      </c>
      <c r="W69" s="3"/>
      <c r="X69" s="7">
        <f t="shared" si="18"/>
        <v>0</v>
      </c>
      <c r="Y69" s="3"/>
      <c r="Z69" s="8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","9175"," - ","EARNED DISCOUNTS")</f>
        <v xml:space="preserve">          9175 - EARNED DISCOUNTS</v>
      </c>
      <c r="C71" s="12"/>
      <c r="D71" s="7"/>
      <c r="E71" s="3"/>
      <c r="F71" s="8">
        <f t="shared" si="12"/>
        <v>0</v>
      </c>
      <c r="G71" s="3"/>
      <c r="H71" s="7"/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0</v>
      </c>
      <c r="Q71" s="3"/>
      <c r="R71" s="8">
        <f t="shared" si="16"/>
        <v>0</v>
      </c>
      <c r="S71" s="3"/>
      <c r="T71" s="7"/>
      <c r="U71" s="3"/>
      <c r="V71" s="8">
        <f t="shared" si="17"/>
        <v>0</v>
      </c>
      <c r="W71" s="3"/>
      <c r="X71" s="7">
        <f t="shared" si="18"/>
        <v>0</v>
      </c>
      <c r="Y71" s="3"/>
      <c r="Z71" s="8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0</v>
      </c>
      <c r="E72" s="2"/>
      <c r="F72" s="6">
        <f t="shared" si="12"/>
        <v>0</v>
      </c>
      <c r="G72" s="2"/>
      <c r="H72" s="2">
        <f>SUM(OSRRefH22_6x_0)</f>
        <v>50</v>
      </c>
      <c r="I72" s="2"/>
      <c r="J72" s="6">
        <f t="shared" si="13"/>
        <v>2.5630904719674795E-4</v>
      </c>
      <c r="K72" s="2"/>
      <c r="L72" s="2">
        <f t="shared" si="14"/>
        <v>-50</v>
      </c>
      <c r="M72" s="2"/>
      <c r="N72" s="6">
        <f t="shared" si="15"/>
        <v>-1</v>
      </c>
      <c r="O72" s="14"/>
      <c r="P72" s="2">
        <f>SUM(OSRRefP22_6x_0)</f>
        <v>291.13</v>
      </c>
      <c r="Q72" s="2"/>
      <c r="R72" s="6">
        <f t="shared" si="16"/>
        <v>7.865563484531782E-5</v>
      </c>
      <c r="S72" s="2"/>
      <c r="T72" s="2">
        <f>SUM(OSRRefT22_6x_0)</f>
        <v>500</v>
      </c>
      <c r="U72" s="2"/>
      <c r="V72" s="6">
        <f t="shared" si="17"/>
        <v>2.0867381944873384E-4</v>
      </c>
      <c r="W72" s="2"/>
      <c r="X72" s="2">
        <f t="shared" si="18"/>
        <v>-208.87</v>
      </c>
      <c r="Y72" s="2"/>
      <c r="Z72" s="6">
        <f t="shared" si="19"/>
        <v>-0.41774</v>
      </c>
    </row>
    <row r="73" spans="1:26" s="70" customFormat="1" ht="15" hidden="1" customHeight="1" outlineLevel="2" x14ac:dyDescent="0.3">
      <c r="A73" s="26"/>
      <c r="B73" s="12" t="str">
        <f>CONCATENATE("          ","6277"," - ","EMPLOYEE APPRECIATION")</f>
        <v xml:space="preserve">          6277 - EMPLOYEE APPRECIATION</v>
      </c>
      <c r="C73" s="12"/>
      <c r="D73" s="7"/>
      <c r="E73" s="3"/>
      <c r="F73" s="8">
        <f t="shared" si="12"/>
        <v>0</v>
      </c>
      <c r="G73" s="3"/>
      <c r="H73" s="7">
        <v>50</v>
      </c>
      <c r="I73" s="3"/>
      <c r="J73" s="8">
        <f t="shared" si="13"/>
        <v>2.5630904719674795E-4</v>
      </c>
      <c r="K73" s="3"/>
      <c r="L73" s="7">
        <f t="shared" si="14"/>
        <v>-50</v>
      </c>
      <c r="M73" s="3"/>
      <c r="N73" s="8">
        <f t="shared" si="15"/>
        <v>-1</v>
      </c>
      <c r="O73" s="12"/>
      <c r="P73" s="7">
        <v>291.13</v>
      </c>
      <c r="Q73" s="3"/>
      <c r="R73" s="8">
        <f t="shared" si="16"/>
        <v>7.865563484531782E-5</v>
      </c>
      <c r="S73" s="3"/>
      <c r="T73" s="7">
        <v>500</v>
      </c>
      <c r="U73" s="3"/>
      <c r="V73" s="8">
        <f t="shared" si="17"/>
        <v>2.0867381944873384E-4</v>
      </c>
      <c r="W73" s="3"/>
      <c r="X73" s="7">
        <f t="shared" si="18"/>
        <v>-208.87</v>
      </c>
      <c r="Y73" s="3"/>
      <c r="Z73" s="8">
        <f t="shared" si="19"/>
        <v>-0.41774</v>
      </c>
    </row>
    <row r="74" spans="1:26" s="69" customFormat="1" ht="15" customHeight="1" outlineLevel="1" collapsed="1" x14ac:dyDescent="0.3">
      <c r="A74" s="25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3.2126340601987915E-5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3">
      <c r="A75" s="26"/>
      <c r="B75" s="12" t="str">
        <f>CONCATENATE("          ","6351"," - ","EQUIPMENT RENTAL")</f>
        <v xml:space="preserve">          6351 - EQUIPMENT RENTAL</v>
      </c>
      <c r="C75" s="12"/>
      <c r="D75" s="7"/>
      <c r="E75" s="3"/>
      <c r="F75" s="8">
        <f t="shared" si="20"/>
        <v>0</v>
      </c>
      <c r="G75" s="3"/>
      <c r="H75" s="7"/>
      <c r="I75" s="3"/>
      <c r="J75" s="8">
        <f t="shared" si="21"/>
        <v>0</v>
      </c>
      <c r="K75" s="3"/>
      <c r="L75" s="7">
        <f t="shared" si="22"/>
        <v>0</v>
      </c>
      <c r="M75" s="3"/>
      <c r="N75" s="8">
        <f t="shared" si="23"/>
        <v>0</v>
      </c>
      <c r="O75" s="12"/>
      <c r="P75" s="7">
        <v>118.91</v>
      </c>
      <c r="Q75" s="3"/>
      <c r="R75" s="8">
        <f t="shared" si="24"/>
        <v>3.2126340601987915E-5</v>
      </c>
      <c r="S75" s="3"/>
      <c r="T75" s="7"/>
      <c r="U75" s="3"/>
      <c r="V75" s="8">
        <f t="shared" si="25"/>
        <v>0</v>
      </c>
      <c r="W75" s="3"/>
      <c r="X75" s="7">
        <f t="shared" si="26"/>
        <v>118.91</v>
      </c>
      <c r="Y75" s="3"/>
      <c r="Z75" s="8">
        <f t="shared" si="27"/>
        <v>0</v>
      </c>
    </row>
    <row r="76" spans="1:26" s="69" customFormat="1" ht="15" customHeight="1" outlineLevel="1" collapsed="1" x14ac:dyDescent="0.3">
      <c r="A76" s="25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2.5630904719674795E-4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2.5106960775394291E-4</v>
      </c>
      <c r="S76" s="2"/>
      <c r="T76" s="2">
        <f>SUM(OSRRefT22_8x_0)</f>
        <v>500</v>
      </c>
      <c r="U76" s="2"/>
      <c r="V76" s="6">
        <f t="shared" si="25"/>
        <v>2.0867381944873384E-4</v>
      </c>
      <c r="W76" s="2"/>
      <c r="X76" s="2">
        <f t="shared" si="26"/>
        <v>429.28999999999996</v>
      </c>
      <c r="Y76" s="2"/>
      <c r="Z76" s="6">
        <f t="shared" si="27"/>
        <v>0.8585799999999999</v>
      </c>
    </row>
    <row r="77" spans="1:26" s="70" customFormat="1" ht="15" hidden="1" customHeight="1" outlineLevel="2" x14ac:dyDescent="0.3">
      <c r="A77" s="26"/>
      <c r="B77" s="12" t="str">
        <f>CONCATENATE("          ","6305"," - ","FREIGHT OUT")</f>
        <v xml:space="preserve">          6305 - FREIGHT OUT</v>
      </c>
      <c r="C77" s="12"/>
      <c r="D77" s="7"/>
      <c r="E77" s="3"/>
      <c r="F77" s="8">
        <f t="shared" si="20"/>
        <v>0</v>
      </c>
      <c r="G77" s="3"/>
      <c r="H77" s="7">
        <v>50</v>
      </c>
      <c r="I77" s="3"/>
      <c r="J77" s="8">
        <f t="shared" si="21"/>
        <v>2.5630904719674795E-4</v>
      </c>
      <c r="K77" s="3"/>
      <c r="L77" s="7">
        <f t="shared" si="22"/>
        <v>-50</v>
      </c>
      <c r="M77" s="3"/>
      <c r="N77" s="8">
        <f t="shared" si="23"/>
        <v>-1</v>
      </c>
      <c r="O77" s="12"/>
      <c r="P77" s="7">
        <v>893.87</v>
      </c>
      <c r="Q77" s="3"/>
      <c r="R77" s="8">
        <f t="shared" si="24"/>
        <v>2.4150005948952099E-4</v>
      </c>
      <c r="S77" s="3"/>
      <c r="T77" s="7">
        <v>500</v>
      </c>
      <c r="U77" s="3"/>
      <c r="V77" s="8">
        <f t="shared" si="25"/>
        <v>2.0867381944873384E-4</v>
      </c>
      <c r="W77" s="3"/>
      <c r="X77" s="7">
        <f t="shared" si="26"/>
        <v>393.87</v>
      </c>
      <c r="Y77" s="3"/>
      <c r="Z77" s="8">
        <f t="shared" si="27"/>
        <v>0.78774</v>
      </c>
    </row>
    <row r="78" spans="1:26" s="70" customFormat="1" ht="15" hidden="1" customHeight="1" outlineLevel="2" x14ac:dyDescent="0.3">
      <c r="A78" s="26"/>
      <c r="B78" s="12" t="str">
        <f>CONCATENATE("          ","6307"," - ","POSTAGE")</f>
        <v xml:space="preserve">          6307 - POSTAGE</v>
      </c>
      <c r="C78" s="12"/>
      <c r="D78" s="7"/>
      <c r="E78" s="3"/>
      <c r="F78" s="8">
        <f t="shared" si="20"/>
        <v>0</v>
      </c>
      <c r="G78" s="3"/>
      <c r="H78" s="7"/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>
        <v>35.42</v>
      </c>
      <c r="Q78" s="3"/>
      <c r="R78" s="8">
        <f t="shared" si="24"/>
        <v>9.5695482644219327E-6</v>
      </c>
      <c r="S78" s="3"/>
      <c r="T78" s="7"/>
      <c r="U78" s="3"/>
      <c r="V78" s="8">
        <f t="shared" si="25"/>
        <v>0</v>
      </c>
      <c r="W78" s="3"/>
      <c r="X78" s="7">
        <f t="shared" si="26"/>
        <v>35.42</v>
      </c>
      <c r="Y78" s="3"/>
      <c r="Z78" s="8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-168.94</v>
      </c>
      <c r="E79" s="2"/>
      <c r="F79" s="6">
        <f t="shared" si="20"/>
        <v>-2.3927039609816179E-4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-168.94</v>
      </c>
      <c r="M79" s="2"/>
      <c r="N79" s="6">
        <f t="shared" si="23"/>
        <v>0</v>
      </c>
      <c r="O79" s="14"/>
      <c r="P79" s="2">
        <f>SUM(OSRRefP22_9x_0)</f>
        <v>988.17</v>
      </c>
      <c r="Q79" s="2"/>
      <c r="R79" s="6">
        <f t="shared" si="24"/>
        <v>2.6697742824544947E-4</v>
      </c>
      <c r="S79" s="2"/>
      <c r="T79" s="2">
        <f>SUM(OSRRefT22_9x_0)</f>
        <v>0</v>
      </c>
      <c r="U79" s="2"/>
      <c r="V79" s="6">
        <f t="shared" si="25"/>
        <v>0</v>
      </c>
      <c r="W79" s="2"/>
      <c r="X79" s="2">
        <f t="shared" si="26"/>
        <v>988.17</v>
      </c>
      <c r="Y79" s="2"/>
      <c r="Z79" s="6">
        <f t="shared" si="27"/>
        <v>0</v>
      </c>
    </row>
    <row r="80" spans="1:26" s="70" customFormat="1" ht="15" hidden="1" customHeight="1" outlineLevel="2" x14ac:dyDescent="0.3">
      <c r="A80" s="26"/>
      <c r="B80" s="12" t="str">
        <f>CONCATENATE("          ","6279"," - ","GENERAL EXPENSE")</f>
        <v xml:space="preserve">          6279 - GENERAL EXPENSE</v>
      </c>
      <c r="C80" s="12"/>
      <c r="D80" s="7">
        <v>-168.94</v>
      </c>
      <c r="E80" s="3"/>
      <c r="F80" s="8">
        <f t="shared" si="20"/>
        <v>-2.3927039609816179E-4</v>
      </c>
      <c r="G80" s="3"/>
      <c r="H80" s="7">
        <v>0</v>
      </c>
      <c r="I80" s="3"/>
      <c r="J80" s="8">
        <f t="shared" si="21"/>
        <v>0</v>
      </c>
      <c r="K80" s="3"/>
      <c r="L80" s="7">
        <f t="shared" si="22"/>
        <v>-168.94</v>
      </c>
      <c r="M80" s="3"/>
      <c r="N80" s="8">
        <f t="shared" si="23"/>
        <v>0</v>
      </c>
      <c r="O80" s="12"/>
      <c r="P80" s="7">
        <v>988.17</v>
      </c>
      <c r="Q80" s="3"/>
      <c r="R80" s="8">
        <f t="shared" si="24"/>
        <v>2.6697742824544947E-4</v>
      </c>
      <c r="S80" s="3"/>
      <c r="T80" s="7">
        <v>0</v>
      </c>
      <c r="U80" s="3"/>
      <c r="V80" s="8">
        <f t="shared" si="25"/>
        <v>0</v>
      </c>
      <c r="W80" s="3"/>
      <c r="X80" s="7">
        <f t="shared" si="26"/>
        <v>988.17</v>
      </c>
      <c r="Y80" s="3"/>
      <c r="Z80" s="8">
        <f t="shared" si="27"/>
        <v>0</v>
      </c>
    </row>
    <row r="81" spans="1:26" s="69" customFormat="1" ht="15" customHeight="1" outlineLevel="1" collapsed="1" x14ac:dyDescent="0.3">
      <c r="A81" s="25"/>
      <c r="B81" s="14" t="str">
        <f>CONCATENATE("     ","Inventory Adjustment                              ")</f>
        <v xml:space="preserve">     Inventory Adjustment                              </v>
      </c>
      <c r="C81" s="14"/>
      <c r="D81" s="2">
        <f>SUM(OSRRefD22_10x_0)</f>
        <v>3350</v>
      </c>
      <c r="E81" s="2"/>
      <c r="F81" s="6">
        <f t="shared" si="20"/>
        <v>4.7446183670465372E-3</v>
      </c>
      <c r="G81" s="2"/>
      <c r="H81" s="2">
        <f>SUM(OSRRefH22_10x_0)</f>
        <v>3350</v>
      </c>
      <c r="I81" s="2"/>
      <c r="J81" s="6">
        <f t="shared" si="21"/>
        <v>1.7172706162182114E-2</v>
      </c>
      <c r="K81" s="2"/>
      <c r="L81" s="2">
        <f t="shared" si="22"/>
        <v>0</v>
      </c>
      <c r="M81" s="2"/>
      <c r="N81" s="6">
        <f t="shared" si="23"/>
        <v>0</v>
      </c>
      <c r="O81" s="14"/>
      <c r="P81" s="2">
        <f>SUM(OSRRefP22_10x_0)</f>
        <v>33500</v>
      </c>
      <c r="Q81" s="2"/>
      <c r="R81" s="6">
        <f t="shared" si="24"/>
        <v>9.0508149875249792E-3</v>
      </c>
      <c r="S81" s="2"/>
      <c r="T81" s="2">
        <f>SUM(OSRRefT22_10x_0)</f>
        <v>33500</v>
      </c>
      <c r="U81" s="2"/>
      <c r="V81" s="6">
        <f t="shared" si="25"/>
        <v>1.3981145903065168E-2</v>
      </c>
      <c r="W81" s="2"/>
      <c r="X81" s="2">
        <f t="shared" si="26"/>
        <v>0</v>
      </c>
      <c r="Y81" s="2"/>
      <c r="Z81" s="6">
        <f t="shared" si="27"/>
        <v>0</v>
      </c>
    </row>
    <row r="82" spans="1:26" s="70" customFormat="1" ht="15" hidden="1" customHeight="1" outlineLevel="2" x14ac:dyDescent="0.3">
      <c r="A82" s="26"/>
      <c r="B82" s="12" t="str">
        <f>CONCATENATE("          ","6408"," - ","INVENTORY ADJUSTMENT")</f>
        <v xml:space="preserve">          6408 - INVENTORY ADJUSTMENT</v>
      </c>
      <c r="C82" s="12"/>
      <c r="D82" s="7">
        <v>3350</v>
      </c>
      <c r="E82" s="3"/>
      <c r="F82" s="8">
        <f t="shared" si="20"/>
        <v>4.7446183670465372E-3</v>
      </c>
      <c r="G82" s="3"/>
      <c r="H82" s="7">
        <v>3350</v>
      </c>
      <c r="I82" s="3"/>
      <c r="J82" s="8">
        <f t="shared" si="21"/>
        <v>1.7172706162182114E-2</v>
      </c>
      <c r="K82" s="3"/>
      <c r="L82" s="7">
        <f t="shared" si="22"/>
        <v>0</v>
      </c>
      <c r="M82" s="3"/>
      <c r="N82" s="8">
        <f t="shared" si="23"/>
        <v>0</v>
      </c>
      <c r="O82" s="12"/>
      <c r="P82" s="7">
        <v>33500</v>
      </c>
      <c r="Q82" s="3"/>
      <c r="R82" s="8">
        <f t="shared" si="24"/>
        <v>9.0508149875249792E-3</v>
      </c>
      <c r="S82" s="3"/>
      <c r="T82" s="7">
        <v>33500</v>
      </c>
      <c r="U82" s="3"/>
      <c r="V82" s="8">
        <f t="shared" si="25"/>
        <v>1.3981145903065168E-2</v>
      </c>
      <c r="W82" s="3"/>
      <c r="X82" s="7">
        <f t="shared" si="26"/>
        <v>0</v>
      </c>
      <c r="Y82" s="3"/>
      <c r="Z82" s="8">
        <f t="shared" si="27"/>
        <v>0</v>
      </c>
    </row>
    <row r="83" spans="1:26" s="69" customFormat="1" ht="15" customHeight="1" outlineLevel="1" collapsed="1" x14ac:dyDescent="0.3">
      <c r="A83" s="25"/>
      <c r="B83" s="14" t="str">
        <f>CONCATENATE("     ","Professional Services                             ")</f>
        <v xml:space="preserve">     Professional Services                             </v>
      </c>
      <c r="C83" s="14"/>
      <c r="D83" s="2">
        <f>SUM(OSRRefD22_11x_0)</f>
        <v>0</v>
      </c>
      <c r="E83" s="2"/>
      <c r="F83" s="6">
        <f t="shared" si="20"/>
        <v>0</v>
      </c>
      <c r="G83" s="2"/>
      <c r="H83" s="2">
        <f>SUM(OSRRefH22_11x_0)</f>
        <v>250</v>
      </c>
      <c r="I83" s="2"/>
      <c r="J83" s="6">
        <f t="shared" si="21"/>
        <v>1.2815452359837397E-3</v>
      </c>
      <c r="K83" s="2"/>
      <c r="L83" s="2">
        <f t="shared" si="22"/>
        <v>-250</v>
      </c>
      <c r="M83" s="2"/>
      <c r="N83" s="6">
        <f t="shared" si="23"/>
        <v>-1</v>
      </c>
      <c r="O83" s="14"/>
      <c r="P83" s="2">
        <f>SUM(OSRRefP22_11x_0)</f>
        <v>1947.64</v>
      </c>
      <c r="Q83" s="2"/>
      <c r="R83" s="6">
        <f t="shared" si="24"/>
        <v>5.2620087469561639E-4</v>
      </c>
      <c r="S83" s="2"/>
      <c r="T83" s="2">
        <f>SUM(OSRRefT22_11x_0)</f>
        <v>1000</v>
      </c>
      <c r="U83" s="2"/>
      <c r="V83" s="6">
        <f t="shared" si="25"/>
        <v>4.1734763889746769E-4</v>
      </c>
      <c r="W83" s="2"/>
      <c r="X83" s="2">
        <f t="shared" si="26"/>
        <v>947.6400000000001</v>
      </c>
      <c r="Y83" s="2"/>
      <c r="Z83" s="6">
        <f t="shared" si="27"/>
        <v>0.94764000000000015</v>
      </c>
    </row>
    <row r="84" spans="1:26" s="70" customFormat="1" ht="15" hidden="1" customHeight="1" outlineLevel="2" x14ac:dyDescent="0.3">
      <c r="A84" s="26"/>
      <c r="B84" s="12" t="str">
        <f>CONCATENATE("          ","6336"," - ","PROFESSIONAL SERVICES")</f>
        <v xml:space="preserve">          6336 - PROFESSIONAL SERVICES</v>
      </c>
      <c r="C84" s="12"/>
      <c r="D84" s="7"/>
      <c r="E84" s="3"/>
      <c r="F84" s="8">
        <f t="shared" si="20"/>
        <v>0</v>
      </c>
      <c r="G84" s="3"/>
      <c r="H84" s="7">
        <v>250</v>
      </c>
      <c r="I84" s="3"/>
      <c r="J84" s="8">
        <f t="shared" si="21"/>
        <v>1.2815452359837397E-3</v>
      </c>
      <c r="K84" s="3"/>
      <c r="L84" s="7">
        <f t="shared" si="22"/>
        <v>-250</v>
      </c>
      <c r="M84" s="3"/>
      <c r="N84" s="8">
        <f t="shared" si="23"/>
        <v>-1</v>
      </c>
      <c r="O84" s="12"/>
      <c r="P84" s="7">
        <v>1947.64</v>
      </c>
      <c r="Q84" s="3"/>
      <c r="R84" s="8">
        <f t="shared" si="24"/>
        <v>5.2620087469561639E-4</v>
      </c>
      <c r="S84" s="3"/>
      <c r="T84" s="7">
        <v>1000</v>
      </c>
      <c r="U84" s="3"/>
      <c r="V84" s="8">
        <f t="shared" si="25"/>
        <v>4.1734763889746769E-4</v>
      </c>
      <c r="W84" s="3"/>
      <c r="X84" s="7">
        <f t="shared" si="26"/>
        <v>947.6400000000001</v>
      </c>
      <c r="Y84" s="3"/>
      <c r="Z84" s="8">
        <f t="shared" si="27"/>
        <v>0.94764000000000015</v>
      </c>
    </row>
    <row r="85" spans="1:26" s="69" customFormat="1" ht="15" customHeight="1" outlineLevel="1" collapsed="1" x14ac:dyDescent="0.3">
      <c r="A85" s="25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SUM(OSRRefD22_12x_0)</f>
        <v>2154.4699999999998</v>
      </c>
      <c r="E85" s="2"/>
      <c r="F85" s="6">
        <f t="shared" si="20"/>
        <v>3.0513844576867915E-3</v>
      </c>
      <c r="G85" s="2"/>
      <c r="H85" s="2">
        <f>SUM(OSRRefH22_12x_0)</f>
        <v>0</v>
      </c>
      <c r="I85" s="2"/>
      <c r="J85" s="6">
        <f t="shared" si="21"/>
        <v>0</v>
      </c>
      <c r="K85" s="2"/>
      <c r="L85" s="2">
        <f t="shared" si="22"/>
        <v>2154.4699999999998</v>
      </c>
      <c r="M85" s="2"/>
      <c r="N85" s="6">
        <f t="shared" si="23"/>
        <v>0</v>
      </c>
      <c r="O85" s="14"/>
      <c r="P85" s="2">
        <f>SUM(OSRRefP22_12x_0)</f>
        <v>3859.0499999999997</v>
      </c>
      <c r="Q85" s="2"/>
      <c r="R85" s="6">
        <f t="shared" si="24"/>
        <v>1.04261336052562E-3</v>
      </c>
      <c r="S85" s="2"/>
      <c r="T85" s="2">
        <f>SUM(OSRRefT22_12x_0)</f>
        <v>0</v>
      </c>
      <c r="U85" s="2"/>
      <c r="V85" s="6">
        <f t="shared" si="25"/>
        <v>0</v>
      </c>
      <c r="W85" s="2"/>
      <c r="X85" s="2">
        <f t="shared" si="26"/>
        <v>3859.0499999999997</v>
      </c>
      <c r="Y85" s="2"/>
      <c r="Z85" s="6">
        <f t="shared" si="27"/>
        <v>0</v>
      </c>
    </row>
    <row r="86" spans="1:26" s="70" customFormat="1" ht="15" hidden="1" customHeight="1" outlineLevel="2" x14ac:dyDescent="0.3">
      <c r="A86" s="26"/>
      <c r="B86" s="12" t="str">
        <f>CONCATENATE("          ","6373"," - ","MAINTENANCE CONTRACTS")</f>
        <v xml:space="preserve">          6373 - MAINTENANCE CONTRACTS</v>
      </c>
      <c r="C86" s="12"/>
      <c r="D86" s="7"/>
      <c r="E86" s="3"/>
      <c r="F86" s="8">
        <f t="shared" si="20"/>
        <v>0</v>
      </c>
      <c r="G86" s="3"/>
      <c r="H86" s="7"/>
      <c r="I86" s="3"/>
      <c r="J86" s="8">
        <f t="shared" si="21"/>
        <v>0</v>
      </c>
      <c r="K86" s="3"/>
      <c r="L86" s="7">
        <f t="shared" si="22"/>
        <v>0</v>
      </c>
      <c r="M86" s="3"/>
      <c r="N86" s="8">
        <f t="shared" si="23"/>
        <v>0</v>
      </c>
      <c r="O86" s="12"/>
      <c r="P86" s="7">
        <v>17.739999999999998</v>
      </c>
      <c r="Q86" s="3"/>
      <c r="R86" s="8">
        <f t="shared" si="24"/>
        <v>4.7928793396624806E-6</v>
      </c>
      <c r="S86" s="3"/>
      <c r="T86" s="7"/>
      <c r="U86" s="3"/>
      <c r="V86" s="8">
        <f t="shared" si="25"/>
        <v>0</v>
      </c>
      <c r="W86" s="3"/>
      <c r="X86" s="7">
        <f t="shared" si="26"/>
        <v>17.739999999999998</v>
      </c>
      <c r="Y86" s="3"/>
      <c r="Z86" s="8">
        <f t="shared" si="27"/>
        <v>0</v>
      </c>
    </row>
    <row r="87" spans="1:26" s="70" customFormat="1" ht="15" hidden="1" customHeight="1" outlineLevel="2" x14ac:dyDescent="0.3">
      <c r="A87" s="26"/>
      <c r="B87" s="12" t="str">
        <f>CONCATENATE("          ","6375"," - ","OUTSIDE REPAIRS &amp; MAINTENANCE")</f>
        <v xml:space="preserve">          6375 - OUTSIDE REPAIRS &amp; MAINTENANCE</v>
      </c>
      <c r="C87" s="12"/>
      <c r="D87" s="7">
        <v>2154.4699999999998</v>
      </c>
      <c r="E87" s="3"/>
      <c r="F87" s="8">
        <f t="shared" si="20"/>
        <v>3.0513844576867915E-3</v>
      </c>
      <c r="G87" s="3"/>
      <c r="H87" s="7">
        <v>0</v>
      </c>
      <c r="I87" s="3"/>
      <c r="J87" s="8">
        <f t="shared" si="21"/>
        <v>0</v>
      </c>
      <c r="K87" s="3"/>
      <c r="L87" s="7">
        <f t="shared" si="22"/>
        <v>2154.4699999999998</v>
      </c>
      <c r="M87" s="3"/>
      <c r="N87" s="8">
        <f t="shared" si="23"/>
        <v>0</v>
      </c>
      <c r="O87" s="12"/>
      <c r="P87" s="7">
        <v>3841.31</v>
      </c>
      <c r="Q87" s="3"/>
      <c r="R87" s="8">
        <f t="shared" si="24"/>
        <v>1.0378204811859575E-3</v>
      </c>
      <c r="S87" s="3"/>
      <c r="T87" s="7">
        <v>0</v>
      </c>
      <c r="U87" s="3"/>
      <c r="V87" s="8">
        <f t="shared" si="25"/>
        <v>0</v>
      </c>
      <c r="W87" s="3"/>
      <c r="X87" s="7">
        <f t="shared" si="26"/>
        <v>3841.31</v>
      </c>
      <c r="Y87" s="3"/>
      <c r="Z87" s="8">
        <f t="shared" si="27"/>
        <v>0</v>
      </c>
    </row>
    <row r="88" spans="1:26" s="69" customFormat="1" ht="15" customHeight="1" outlineLevel="1" collapsed="1" x14ac:dyDescent="0.3">
      <c r="A88" s="25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2">
        <f>SUM(OSRRefD22_13x_0)</f>
        <v>26841.57</v>
      </c>
      <c r="E88" s="2"/>
      <c r="F88" s="6">
        <f t="shared" si="20"/>
        <v>3.8015822693243377E-2</v>
      </c>
      <c r="G88" s="2"/>
      <c r="H88" s="2">
        <f>SUM(OSRRefH22_13x_0)</f>
        <v>16503</v>
      </c>
      <c r="I88" s="2"/>
      <c r="J88" s="6">
        <f t="shared" si="21"/>
        <v>8.4597364117758631E-2</v>
      </c>
      <c r="K88" s="2"/>
      <c r="L88" s="2">
        <f t="shared" si="22"/>
        <v>10338.57</v>
      </c>
      <c r="M88" s="2"/>
      <c r="N88" s="6">
        <f t="shared" si="23"/>
        <v>0.6264660970732594</v>
      </c>
      <c r="O88" s="14"/>
      <c r="P88" s="2">
        <f>SUM(OSRRefP22_13x_0)</f>
        <v>69571.88</v>
      </c>
      <c r="Q88" s="2"/>
      <c r="R88" s="6">
        <f t="shared" si="24"/>
        <v>1.8796484006396698E-2</v>
      </c>
      <c r="S88" s="2"/>
      <c r="T88" s="2">
        <f>SUM(OSRRefT22_13x_0)</f>
        <v>55532</v>
      </c>
      <c r="U88" s="2"/>
      <c r="V88" s="6">
        <f t="shared" si="25"/>
        <v>2.3176149083254178E-2</v>
      </c>
      <c r="W88" s="2"/>
      <c r="X88" s="2">
        <f t="shared" si="26"/>
        <v>14039.880000000005</v>
      </c>
      <c r="Y88" s="2"/>
      <c r="Z88" s="6">
        <f t="shared" si="27"/>
        <v>0.2528250378160341</v>
      </c>
    </row>
    <row r="89" spans="1:26" s="70" customFormat="1" ht="15" hidden="1" customHeight="1" outlineLevel="2" x14ac:dyDescent="0.3">
      <c r="A89" s="26"/>
      <c r="B89" s="12" t="str">
        <f>CONCATENATE("          ","6252"," - ","ROYALTY DUE CSTV")</f>
        <v xml:space="preserve">          6252 - ROYALTY DUE CSTV</v>
      </c>
      <c r="C89" s="12"/>
      <c r="D89" s="7"/>
      <c r="E89" s="3"/>
      <c r="F89" s="8">
        <f t="shared" si="20"/>
        <v>0</v>
      </c>
      <c r="G89" s="3"/>
      <c r="H89" s="7">
        <v>948</v>
      </c>
      <c r="I89" s="3"/>
      <c r="J89" s="8">
        <f t="shared" si="21"/>
        <v>4.859619534850341E-3</v>
      </c>
      <c r="K89" s="3"/>
      <c r="L89" s="7">
        <f t="shared" si="22"/>
        <v>-948</v>
      </c>
      <c r="M89" s="3"/>
      <c r="N89" s="8">
        <f t="shared" si="23"/>
        <v>-1</v>
      </c>
      <c r="O89" s="12"/>
      <c r="P89" s="7"/>
      <c r="Q89" s="3"/>
      <c r="R89" s="8">
        <f t="shared" si="24"/>
        <v>0</v>
      </c>
      <c r="S89" s="3"/>
      <c r="T89" s="7">
        <v>13530</v>
      </c>
      <c r="U89" s="3"/>
      <c r="V89" s="8">
        <f t="shared" si="25"/>
        <v>5.646713554282738E-3</v>
      </c>
      <c r="W89" s="3"/>
      <c r="X89" s="7">
        <f t="shared" si="26"/>
        <v>-13530</v>
      </c>
      <c r="Y89" s="3"/>
      <c r="Z89" s="8">
        <f t="shared" si="27"/>
        <v>-1</v>
      </c>
    </row>
    <row r="90" spans="1:26" s="70" customFormat="1" ht="15" hidden="1" customHeight="1" outlineLevel="2" x14ac:dyDescent="0.3">
      <c r="A90" s="26"/>
      <c r="B90" s="12" t="str">
        <f>CONCATENATE("          ","6253"," - ","ROYALTY DUE ATHLETICS-LRG")</f>
        <v xml:space="preserve">          6253 - ROYALTY DUE ATHLETICS-LRG</v>
      </c>
      <c r="C90" s="12"/>
      <c r="D90" s="7">
        <v>15944.33</v>
      </c>
      <c r="E90" s="3"/>
      <c r="F90" s="8">
        <f t="shared" si="20"/>
        <v>2.2582018199477943E-2</v>
      </c>
      <c r="G90" s="3"/>
      <c r="H90" s="7">
        <v>14555</v>
      </c>
      <c r="I90" s="3"/>
      <c r="J90" s="8">
        <f t="shared" si="21"/>
        <v>7.4611563638973324E-2</v>
      </c>
      <c r="K90" s="3"/>
      <c r="L90" s="7">
        <f t="shared" si="22"/>
        <v>1389.33</v>
      </c>
      <c r="M90" s="3"/>
      <c r="N90" s="8">
        <f t="shared" si="23"/>
        <v>9.5453795946410167E-2</v>
      </c>
      <c r="O90" s="12"/>
      <c r="P90" s="7">
        <v>55165.49</v>
      </c>
      <c r="Q90" s="3"/>
      <c r="R90" s="8">
        <f t="shared" si="24"/>
        <v>1.4904258020482368E-2</v>
      </c>
      <c r="S90" s="3"/>
      <c r="T90" s="7">
        <v>38502</v>
      </c>
      <c r="U90" s="3"/>
      <c r="V90" s="8">
        <f t="shared" si="25"/>
        <v>1.6068718792830301E-2</v>
      </c>
      <c r="W90" s="3"/>
      <c r="X90" s="7">
        <f t="shared" si="26"/>
        <v>16663.489999999998</v>
      </c>
      <c r="Y90" s="3"/>
      <c r="Z90" s="8">
        <f t="shared" si="27"/>
        <v>0.4327954391979637</v>
      </c>
    </row>
    <row r="91" spans="1:26" s="70" customFormat="1" ht="15" hidden="1" customHeight="1" outlineLevel="2" x14ac:dyDescent="0.3">
      <c r="A91" s="26"/>
      <c r="B91" s="12" t="str">
        <f>CONCATENATE("          ","6254"," - ","ROYALTY &amp; COMMISSIONS")</f>
        <v xml:space="preserve">          6254 - ROYALTY &amp; COMMISSIONS</v>
      </c>
      <c r="C91" s="12"/>
      <c r="D91" s="7">
        <v>10897.24</v>
      </c>
      <c r="E91" s="3"/>
      <c r="F91" s="8">
        <f t="shared" si="20"/>
        <v>1.5433804493765434E-2</v>
      </c>
      <c r="G91" s="3"/>
      <c r="H91" s="7">
        <v>1000</v>
      </c>
      <c r="I91" s="3"/>
      <c r="J91" s="8">
        <f t="shared" si="21"/>
        <v>5.126180943934959E-3</v>
      </c>
      <c r="K91" s="3"/>
      <c r="L91" s="7">
        <f t="shared" si="22"/>
        <v>9897.24</v>
      </c>
      <c r="M91" s="3"/>
      <c r="N91" s="8">
        <f t="shared" si="23"/>
        <v>9.89724</v>
      </c>
      <c r="O91" s="12"/>
      <c r="P91" s="7">
        <v>14406.39</v>
      </c>
      <c r="Q91" s="3"/>
      <c r="R91" s="8">
        <f t="shared" si="24"/>
        <v>3.8922259859143276E-3</v>
      </c>
      <c r="S91" s="3"/>
      <c r="T91" s="7">
        <v>3500</v>
      </c>
      <c r="U91" s="3"/>
      <c r="V91" s="8">
        <f t="shared" si="25"/>
        <v>1.4607167361411369E-3</v>
      </c>
      <c r="W91" s="3"/>
      <c r="X91" s="7">
        <f t="shared" si="26"/>
        <v>10906.39</v>
      </c>
      <c r="Y91" s="3"/>
      <c r="Z91" s="8">
        <f t="shared" si="27"/>
        <v>3.1161114285714282</v>
      </c>
    </row>
    <row r="92" spans="1:26" s="69" customFormat="1" ht="15" customHeight="1" outlineLevel="1" collapsed="1" x14ac:dyDescent="0.3">
      <c r="A92" s="25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2">
        <f>SUM(OSRRefD22_14x_0)</f>
        <v>0</v>
      </c>
      <c r="E92" s="2"/>
      <c r="F92" s="6">
        <f t="shared" si="20"/>
        <v>0</v>
      </c>
      <c r="G92" s="2"/>
      <c r="H92" s="2">
        <f>SUM(OSRRefH22_14x_0)</f>
        <v>100</v>
      </c>
      <c r="I92" s="2"/>
      <c r="J92" s="6">
        <f t="shared" si="21"/>
        <v>5.126180943934959E-4</v>
      </c>
      <c r="K92" s="2"/>
      <c r="L92" s="2">
        <f t="shared" si="22"/>
        <v>-100</v>
      </c>
      <c r="M92" s="2"/>
      <c r="N92" s="6">
        <f t="shared" si="23"/>
        <v>-1</v>
      </c>
      <c r="O92" s="14"/>
      <c r="P92" s="2">
        <f>SUM(OSRRefP22_14x_0)</f>
        <v>125</v>
      </c>
      <c r="Q92" s="2"/>
      <c r="R92" s="6">
        <f t="shared" si="24"/>
        <v>3.3771697714645444E-5</v>
      </c>
      <c r="S92" s="2"/>
      <c r="T92" s="2">
        <f>SUM(OSRRefT22_14x_0)</f>
        <v>1400</v>
      </c>
      <c r="U92" s="2"/>
      <c r="V92" s="6">
        <f t="shared" si="25"/>
        <v>5.8428669445645474E-4</v>
      </c>
      <c r="W92" s="2"/>
      <c r="X92" s="2">
        <f t="shared" si="26"/>
        <v>-1275</v>
      </c>
      <c r="Y92" s="2"/>
      <c r="Z92" s="6">
        <f t="shared" si="27"/>
        <v>-0.9107142857142857</v>
      </c>
    </row>
    <row r="93" spans="1:26" s="70" customFormat="1" ht="15" hidden="1" customHeight="1" outlineLevel="2" x14ac:dyDescent="0.3">
      <c r="A93" s="26"/>
      <c r="B93" s="12" t="str">
        <f>CONCATENATE("          ","6258"," - ","MEMBERSHIP DUES")</f>
        <v xml:space="preserve">          6258 - MEMBERSHIP DUES</v>
      </c>
      <c r="C93" s="12"/>
      <c r="D93" s="7"/>
      <c r="E93" s="3"/>
      <c r="F93" s="8">
        <f t="shared" si="20"/>
        <v>0</v>
      </c>
      <c r="G93" s="3"/>
      <c r="H93" s="7">
        <v>0</v>
      </c>
      <c r="I93" s="3"/>
      <c r="J93" s="8">
        <f t="shared" si="21"/>
        <v>0</v>
      </c>
      <c r="K93" s="3"/>
      <c r="L93" s="7">
        <f t="shared" si="22"/>
        <v>0</v>
      </c>
      <c r="M93" s="3"/>
      <c r="N93" s="8">
        <f t="shared" si="23"/>
        <v>0</v>
      </c>
      <c r="O93" s="12"/>
      <c r="P93" s="7">
        <v>125</v>
      </c>
      <c r="Q93" s="3"/>
      <c r="R93" s="8">
        <f t="shared" si="24"/>
        <v>3.3771697714645444E-5</v>
      </c>
      <c r="S93" s="3"/>
      <c r="T93" s="7">
        <v>1000</v>
      </c>
      <c r="U93" s="3"/>
      <c r="V93" s="8">
        <f t="shared" si="25"/>
        <v>4.1734763889746769E-4</v>
      </c>
      <c r="W93" s="3"/>
      <c r="X93" s="7">
        <f t="shared" si="26"/>
        <v>-875</v>
      </c>
      <c r="Y93" s="3"/>
      <c r="Z93" s="8">
        <f t="shared" si="27"/>
        <v>-0.875</v>
      </c>
    </row>
    <row r="94" spans="1:26" s="70" customFormat="1" ht="15" hidden="1" customHeight="1" outlineLevel="2" x14ac:dyDescent="0.3">
      <c r="A94" s="26"/>
      <c r="B94" s="12" t="str">
        <f>CONCATENATE("          ","6275"," - ","SUBSCRIPTIONS")</f>
        <v xml:space="preserve">          6275 - SUBSCRIPTIONS</v>
      </c>
      <c r="C94" s="12"/>
      <c r="D94" s="7"/>
      <c r="E94" s="3"/>
      <c r="F94" s="8">
        <f t="shared" si="20"/>
        <v>0</v>
      </c>
      <c r="G94" s="3"/>
      <c r="H94" s="7">
        <v>100</v>
      </c>
      <c r="I94" s="3"/>
      <c r="J94" s="8">
        <f t="shared" si="21"/>
        <v>5.126180943934959E-4</v>
      </c>
      <c r="K94" s="3"/>
      <c r="L94" s="7">
        <f t="shared" si="22"/>
        <v>-100</v>
      </c>
      <c r="M94" s="3"/>
      <c r="N94" s="8">
        <f t="shared" si="23"/>
        <v>-1</v>
      </c>
      <c r="O94" s="12"/>
      <c r="P94" s="7"/>
      <c r="Q94" s="3"/>
      <c r="R94" s="8">
        <f t="shared" si="24"/>
        <v>0</v>
      </c>
      <c r="S94" s="3"/>
      <c r="T94" s="7">
        <v>400</v>
      </c>
      <c r="U94" s="3"/>
      <c r="V94" s="8">
        <f t="shared" si="25"/>
        <v>1.6693905555898708E-4</v>
      </c>
      <c r="W94" s="3"/>
      <c r="X94" s="7">
        <f t="shared" si="26"/>
        <v>-400</v>
      </c>
      <c r="Y94" s="3"/>
      <c r="Z94" s="8">
        <f t="shared" si="27"/>
        <v>-1</v>
      </c>
    </row>
    <row r="95" spans="1:26" s="69" customFormat="1" ht="15" customHeight="1" outlineLevel="1" collapsed="1" x14ac:dyDescent="0.3">
      <c r="A95" s="25"/>
      <c r="B95" s="14" t="str">
        <f>CONCATENATE("     ","Supplies                                          ")</f>
        <v xml:space="preserve">     Supplies                                          </v>
      </c>
      <c r="C95" s="14"/>
      <c r="D95" s="2">
        <f>SUM(OSRRefD22_15x_0)</f>
        <v>-83.679999999999993</v>
      </c>
      <c r="E95" s="2"/>
      <c r="F95" s="6">
        <f t="shared" si="20"/>
        <v>-1.1851631789685199E-4</v>
      </c>
      <c r="G95" s="2"/>
      <c r="H95" s="2">
        <f>SUM(OSRRefH22_15x_0)</f>
        <v>75</v>
      </c>
      <c r="I95" s="2"/>
      <c r="J95" s="6">
        <f t="shared" si="21"/>
        <v>3.8446357079512192E-4</v>
      </c>
      <c r="K95" s="2"/>
      <c r="L95" s="2">
        <f t="shared" si="22"/>
        <v>-158.68</v>
      </c>
      <c r="M95" s="2"/>
      <c r="N95" s="6">
        <f t="shared" si="23"/>
        <v>-2.1157333333333335</v>
      </c>
      <c r="O95" s="14"/>
      <c r="P95" s="2">
        <f>SUM(OSRRefP22_15x_0)</f>
        <v>8394.01</v>
      </c>
      <c r="Q95" s="2"/>
      <c r="R95" s="6">
        <f t="shared" si="24"/>
        <v>2.2678397466696881E-3</v>
      </c>
      <c r="S95" s="2"/>
      <c r="T95" s="2">
        <f>SUM(OSRRefT22_15x_0)</f>
        <v>750</v>
      </c>
      <c r="U95" s="2"/>
      <c r="V95" s="6">
        <f t="shared" si="25"/>
        <v>3.1301072917310077E-4</v>
      </c>
      <c r="W95" s="2"/>
      <c r="X95" s="2">
        <f t="shared" si="26"/>
        <v>7644.01</v>
      </c>
      <c r="Y95" s="2"/>
      <c r="Z95" s="6">
        <f t="shared" si="27"/>
        <v>10.192013333333334</v>
      </c>
    </row>
    <row r="96" spans="1:26" s="70" customFormat="1" ht="15" hidden="1" customHeight="1" outlineLevel="2" x14ac:dyDescent="0.3">
      <c r="A96" s="26"/>
      <c r="B96" s="12" t="str">
        <f>CONCATENATE("          ","6235"," - ","COVID-19 EXPENSES")</f>
        <v xml:space="preserve">          6235 - COVID-19 EXPENSES</v>
      </c>
      <c r="C96" s="12"/>
      <c r="D96" s="7"/>
      <c r="E96" s="3"/>
      <c r="F96" s="8">
        <f t="shared" si="20"/>
        <v>0</v>
      </c>
      <c r="G96" s="3"/>
      <c r="H96" s="7">
        <v>0</v>
      </c>
      <c r="I96" s="3"/>
      <c r="J96" s="8">
        <f t="shared" si="21"/>
        <v>0</v>
      </c>
      <c r="K96" s="3"/>
      <c r="L96" s="7">
        <f t="shared" si="22"/>
        <v>0</v>
      </c>
      <c r="M96" s="3"/>
      <c r="N96" s="8">
        <f t="shared" si="23"/>
        <v>0</v>
      </c>
      <c r="O96" s="12"/>
      <c r="P96" s="7"/>
      <c r="Q96" s="3"/>
      <c r="R96" s="8">
        <f t="shared" si="24"/>
        <v>0</v>
      </c>
      <c r="S96" s="3"/>
      <c r="T96" s="7">
        <v>0</v>
      </c>
      <c r="U96" s="3"/>
      <c r="V96" s="8">
        <f t="shared" si="25"/>
        <v>0</v>
      </c>
      <c r="W96" s="3"/>
      <c r="X96" s="7">
        <f t="shared" si="26"/>
        <v>0</v>
      </c>
      <c r="Y96" s="3"/>
      <c r="Z96" s="8">
        <f t="shared" si="27"/>
        <v>0</v>
      </c>
    </row>
    <row r="97" spans="1:26" s="70" customFormat="1" ht="15" hidden="1" customHeight="1" outlineLevel="2" x14ac:dyDescent="0.3">
      <c r="A97" s="26"/>
      <c r="B97" s="12" t="str">
        <f>CONCATENATE("          ","6241"," - ","OFFICE EXPENSE")</f>
        <v xml:space="preserve">          6241 - OFFICE EXPENSE</v>
      </c>
      <c r="C97" s="12"/>
      <c r="D97" s="7">
        <v>25.89</v>
      </c>
      <c r="E97" s="3"/>
      <c r="F97" s="8">
        <f t="shared" si="20"/>
        <v>3.6668110305323837E-5</v>
      </c>
      <c r="G97" s="3"/>
      <c r="H97" s="7">
        <v>25</v>
      </c>
      <c r="I97" s="3"/>
      <c r="J97" s="8">
        <f t="shared" si="21"/>
        <v>1.2815452359837397E-4</v>
      </c>
      <c r="K97" s="3"/>
      <c r="L97" s="7">
        <f t="shared" si="22"/>
        <v>0.89000000000000057</v>
      </c>
      <c r="M97" s="3"/>
      <c r="N97" s="8">
        <f t="shared" si="23"/>
        <v>3.5600000000000021E-2</v>
      </c>
      <c r="O97" s="12"/>
      <c r="P97" s="7">
        <v>1942.89</v>
      </c>
      <c r="Q97" s="3"/>
      <c r="R97" s="8">
        <f t="shared" si="24"/>
        <v>5.2491755018245988E-4</v>
      </c>
      <c r="S97" s="3"/>
      <c r="T97" s="7">
        <v>250</v>
      </c>
      <c r="U97" s="3"/>
      <c r="V97" s="8">
        <f t="shared" si="25"/>
        <v>1.0433690972436692E-4</v>
      </c>
      <c r="W97" s="3"/>
      <c r="X97" s="7">
        <f t="shared" si="26"/>
        <v>1692.89</v>
      </c>
      <c r="Y97" s="3"/>
      <c r="Z97" s="8">
        <f t="shared" si="27"/>
        <v>6.77156</v>
      </c>
    </row>
    <row r="98" spans="1:26" s="70" customFormat="1" ht="15" hidden="1" customHeight="1" outlineLevel="2" x14ac:dyDescent="0.3">
      <c r="A98" s="26"/>
      <c r="B98" s="12" t="str">
        <f>CONCATENATE("          ","6245"," - ","PRINTING")</f>
        <v xml:space="preserve">          6245 - PRINTING</v>
      </c>
      <c r="C98" s="12"/>
      <c r="D98" s="7"/>
      <c r="E98" s="3"/>
      <c r="F98" s="8">
        <f t="shared" si="20"/>
        <v>0</v>
      </c>
      <c r="G98" s="3"/>
      <c r="H98" s="7"/>
      <c r="I98" s="3"/>
      <c r="J98" s="8">
        <f t="shared" si="21"/>
        <v>0</v>
      </c>
      <c r="K98" s="3"/>
      <c r="L98" s="7">
        <f t="shared" si="22"/>
        <v>0</v>
      </c>
      <c r="M98" s="3"/>
      <c r="N98" s="8">
        <f t="shared" si="23"/>
        <v>0</v>
      </c>
      <c r="O98" s="12"/>
      <c r="P98" s="7">
        <v>35.549999999999997</v>
      </c>
      <c r="Q98" s="3"/>
      <c r="R98" s="8">
        <f t="shared" si="24"/>
        <v>9.6046708300451638E-6</v>
      </c>
      <c r="S98" s="3"/>
      <c r="T98" s="7"/>
      <c r="U98" s="3"/>
      <c r="V98" s="8">
        <f t="shared" si="25"/>
        <v>0</v>
      </c>
      <c r="W98" s="3"/>
      <c r="X98" s="7">
        <f t="shared" si="26"/>
        <v>35.549999999999997</v>
      </c>
      <c r="Y98" s="3"/>
      <c r="Z98" s="8">
        <f t="shared" si="27"/>
        <v>0</v>
      </c>
    </row>
    <row r="99" spans="1:26" s="70" customFormat="1" ht="15" hidden="1" customHeight="1" outlineLevel="2" x14ac:dyDescent="0.3">
      <c r="A99" s="26"/>
      <c r="B99" s="12" t="str">
        <f>CONCATENATE("          ","6247"," - ","STORE SUPPLIES")</f>
        <v xml:space="preserve">          6247 - STORE SUPPLIES</v>
      </c>
      <c r="C99" s="12"/>
      <c r="D99" s="7">
        <v>-109.57</v>
      </c>
      <c r="E99" s="3"/>
      <c r="F99" s="8">
        <f t="shared" si="20"/>
        <v>-1.5518442820217584E-4</v>
      </c>
      <c r="G99" s="3"/>
      <c r="H99" s="7">
        <v>50</v>
      </c>
      <c r="I99" s="3"/>
      <c r="J99" s="8">
        <f t="shared" si="21"/>
        <v>2.5630904719674795E-4</v>
      </c>
      <c r="K99" s="3"/>
      <c r="L99" s="7">
        <f t="shared" si="22"/>
        <v>-159.57</v>
      </c>
      <c r="M99" s="3"/>
      <c r="N99" s="8">
        <f t="shared" si="23"/>
        <v>-3.1913999999999998</v>
      </c>
      <c r="O99" s="12"/>
      <c r="P99" s="7">
        <v>6415.57</v>
      </c>
      <c r="Q99" s="3"/>
      <c r="R99" s="8">
        <f t="shared" si="24"/>
        <v>1.7333175256571828E-3</v>
      </c>
      <c r="S99" s="3"/>
      <c r="T99" s="7">
        <v>500</v>
      </c>
      <c r="U99" s="3"/>
      <c r="V99" s="8">
        <f t="shared" si="25"/>
        <v>2.0867381944873384E-4</v>
      </c>
      <c r="W99" s="3"/>
      <c r="X99" s="7">
        <f t="shared" si="26"/>
        <v>5915.57</v>
      </c>
      <c r="Y99" s="3"/>
      <c r="Z99" s="8">
        <f t="shared" si="27"/>
        <v>11.83114</v>
      </c>
    </row>
    <row r="100" spans="1:26" s="69" customFormat="1" ht="15" customHeight="1" outlineLevel="1" collapsed="1" x14ac:dyDescent="0.3">
      <c r="A100" s="25"/>
      <c r="B100" s="14" t="str">
        <f>CONCATENATE("     ","Telephone/Data Lines                              ")</f>
        <v xml:space="preserve">     Telephone/Data Lines                              </v>
      </c>
      <c r="C100" s="14"/>
      <c r="D100" s="2">
        <f>SUM(OSRRefD22_16x_0)</f>
        <v>373.8</v>
      </c>
      <c r="E100" s="2"/>
      <c r="F100" s="6">
        <f t="shared" si="20"/>
        <v>5.2941443152298377E-4</v>
      </c>
      <c r="G100" s="2"/>
      <c r="H100" s="2">
        <f>SUM(OSRRefH22_16x_0)</f>
        <v>300</v>
      </c>
      <c r="I100" s="2"/>
      <c r="J100" s="6">
        <f t="shared" si="21"/>
        <v>1.5378542831804877E-3</v>
      </c>
      <c r="K100" s="2"/>
      <c r="L100" s="2">
        <f t="shared" si="22"/>
        <v>73.800000000000011</v>
      </c>
      <c r="M100" s="2"/>
      <c r="N100" s="6">
        <f t="shared" si="23"/>
        <v>0.24600000000000002</v>
      </c>
      <c r="O100" s="14"/>
      <c r="P100" s="2">
        <f>SUM(OSRRefP22_16x_0)</f>
        <v>2252.0500000000002</v>
      </c>
      <c r="Q100" s="2"/>
      <c r="R100" s="6">
        <f t="shared" si="24"/>
        <v>6.0844441470613822E-4</v>
      </c>
      <c r="S100" s="2"/>
      <c r="T100" s="2">
        <f>SUM(OSRRefT22_16x_0)</f>
        <v>3000</v>
      </c>
      <c r="U100" s="2"/>
      <c r="V100" s="6">
        <f t="shared" si="25"/>
        <v>1.2520429166924031E-3</v>
      </c>
      <c r="W100" s="2"/>
      <c r="X100" s="2">
        <f t="shared" si="26"/>
        <v>-747.94999999999982</v>
      </c>
      <c r="Y100" s="2"/>
      <c r="Z100" s="6">
        <f t="shared" si="27"/>
        <v>-0.2493166666666666</v>
      </c>
    </row>
    <row r="101" spans="1:26" s="70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7">
        <v>373.8</v>
      </c>
      <c r="E101" s="3"/>
      <c r="F101" s="8">
        <f t="shared" si="20"/>
        <v>5.2941443152298377E-4</v>
      </c>
      <c r="G101" s="3"/>
      <c r="H101" s="7">
        <v>300</v>
      </c>
      <c r="I101" s="3"/>
      <c r="J101" s="8">
        <f t="shared" si="21"/>
        <v>1.5378542831804877E-3</v>
      </c>
      <c r="K101" s="3"/>
      <c r="L101" s="7">
        <f t="shared" si="22"/>
        <v>73.800000000000011</v>
      </c>
      <c r="M101" s="3"/>
      <c r="N101" s="8">
        <f t="shared" si="23"/>
        <v>0.24600000000000002</v>
      </c>
      <c r="O101" s="12"/>
      <c r="P101" s="7">
        <v>2252.0500000000002</v>
      </c>
      <c r="Q101" s="3"/>
      <c r="R101" s="8">
        <f t="shared" si="24"/>
        <v>6.0844441470613822E-4</v>
      </c>
      <c r="S101" s="3"/>
      <c r="T101" s="7">
        <v>3000</v>
      </c>
      <c r="U101" s="3"/>
      <c r="V101" s="8">
        <f t="shared" si="25"/>
        <v>1.2520429166924031E-3</v>
      </c>
      <c r="W101" s="3"/>
      <c r="X101" s="7">
        <f t="shared" si="26"/>
        <v>-747.94999999999982</v>
      </c>
      <c r="Y101" s="3"/>
      <c r="Z101" s="8">
        <f t="shared" si="27"/>
        <v>-0.2493166666666666</v>
      </c>
    </row>
    <row r="102" spans="1:26" s="69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SUM(OSRRefD22_17x_0)</f>
        <v>0</v>
      </c>
      <c r="E102" s="2"/>
      <c r="F102" s="6">
        <f t="shared" si="20"/>
        <v>0</v>
      </c>
      <c r="G102" s="2"/>
      <c r="H102" s="2">
        <f>SUM(OSRRefH22_17x_0)</f>
        <v>0</v>
      </c>
      <c r="I102" s="2"/>
      <c r="J102" s="6">
        <f t="shared" si="21"/>
        <v>0</v>
      </c>
      <c r="K102" s="2"/>
      <c r="L102" s="2">
        <f t="shared" si="22"/>
        <v>0</v>
      </c>
      <c r="M102" s="2"/>
      <c r="N102" s="6">
        <f t="shared" si="23"/>
        <v>0</v>
      </c>
      <c r="O102" s="14"/>
      <c r="P102" s="2">
        <f>SUM(OSRRefP22_17x_0)</f>
        <v>300</v>
      </c>
      <c r="Q102" s="2"/>
      <c r="R102" s="6">
        <f t="shared" si="24"/>
        <v>8.1052074515149065E-5</v>
      </c>
      <c r="S102" s="2"/>
      <c r="T102" s="2">
        <f>SUM(OSRRefT22_17x_0)</f>
        <v>0</v>
      </c>
      <c r="U102" s="2"/>
      <c r="V102" s="6">
        <f t="shared" si="25"/>
        <v>0</v>
      </c>
      <c r="W102" s="2"/>
      <c r="X102" s="2">
        <f t="shared" si="26"/>
        <v>300</v>
      </c>
      <c r="Y102" s="2"/>
      <c r="Z102" s="6">
        <f t="shared" si="27"/>
        <v>0</v>
      </c>
    </row>
    <row r="103" spans="1:26" s="70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>
        <v>300</v>
      </c>
      <c r="Q103" s="3"/>
      <c r="R103" s="8">
        <f t="shared" si="24"/>
        <v>8.1052074515149065E-5</v>
      </c>
      <c r="S103" s="3"/>
      <c r="T103" s="7"/>
      <c r="U103" s="3"/>
      <c r="V103" s="8">
        <f t="shared" si="25"/>
        <v>0</v>
      </c>
      <c r="W103" s="3"/>
      <c r="X103" s="7">
        <f t="shared" si="26"/>
        <v>300</v>
      </c>
      <c r="Y103" s="3"/>
      <c r="Z103" s="8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SUM(OSRRefD22_18x_0)</f>
        <v>0</v>
      </c>
      <c r="E104" s="2"/>
      <c r="F104" s="6">
        <f t="shared" si="20"/>
        <v>0</v>
      </c>
      <c r="G104" s="2"/>
      <c r="H104" s="2">
        <f>SUM(OSRRefH22_18x_0)</f>
        <v>25</v>
      </c>
      <c r="I104" s="2"/>
      <c r="J104" s="6">
        <f t="shared" si="21"/>
        <v>1.2815452359837397E-4</v>
      </c>
      <c r="K104" s="2"/>
      <c r="L104" s="2">
        <f t="shared" si="22"/>
        <v>-25</v>
      </c>
      <c r="M104" s="2"/>
      <c r="N104" s="6">
        <f t="shared" si="23"/>
        <v>-1</v>
      </c>
      <c r="O104" s="14"/>
      <c r="P104" s="2">
        <f>SUM(OSRRefP22_18x_0)</f>
        <v>77.39</v>
      </c>
      <c r="Q104" s="2"/>
      <c r="R104" s="6">
        <f t="shared" si="24"/>
        <v>2.0908733489091286E-5</v>
      </c>
      <c r="S104" s="2"/>
      <c r="T104" s="2">
        <f>SUM(OSRRefT22_18x_0)</f>
        <v>250</v>
      </c>
      <c r="U104" s="2"/>
      <c r="V104" s="6">
        <f t="shared" si="25"/>
        <v>1.0433690972436692E-4</v>
      </c>
      <c r="W104" s="2"/>
      <c r="X104" s="2">
        <f t="shared" si="26"/>
        <v>-172.61</v>
      </c>
      <c r="Y104" s="2"/>
      <c r="Z104" s="6">
        <f t="shared" si="27"/>
        <v>-0.69044000000000005</v>
      </c>
    </row>
    <row r="105" spans="1:26" s="70" customFormat="1" ht="15" hidden="1" customHeight="1" outlineLevel="2" x14ac:dyDescent="0.3">
      <c r="A105" s="26"/>
      <c r="B105" s="12" t="str">
        <f>CONCATENATE("          ","6294"," - ","TRAVEL OPERATIONAL")</f>
        <v xml:space="preserve">          6294 - TRAVEL OPERATIONAL</v>
      </c>
      <c r="C105" s="12"/>
      <c r="D105" s="7"/>
      <c r="E105" s="3"/>
      <c r="F105" s="8">
        <f t="shared" si="20"/>
        <v>0</v>
      </c>
      <c r="G105" s="3"/>
      <c r="H105" s="7">
        <v>25</v>
      </c>
      <c r="I105" s="3"/>
      <c r="J105" s="8">
        <f t="shared" si="21"/>
        <v>1.2815452359837397E-4</v>
      </c>
      <c r="K105" s="3"/>
      <c r="L105" s="7">
        <f t="shared" si="22"/>
        <v>-25</v>
      </c>
      <c r="M105" s="3"/>
      <c r="N105" s="8">
        <f t="shared" si="23"/>
        <v>-1</v>
      </c>
      <c r="O105" s="12"/>
      <c r="P105" s="7">
        <v>77.39</v>
      </c>
      <c r="Q105" s="3"/>
      <c r="R105" s="8">
        <f t="shared" si="24"/>
        <v>2.0908733489091286E-5</v>
      </c>
      <c r="S105" s="3"/>
      <c r="T105" s="7">
        <v>250</v>
      </c>
      <c r="U105" s="3"/>
      <c r="V105" s="8">
        <f t="shared" si="25"/>
        <v>1.0433690972436692E-4</v>
      </c>
      <c r="W105" s="3"/>
      <c r="X105" s="7">
        <f t="shared" si="26"/>
        <v>-172.61</v>
      </c>
      <c r="Y105" s="3"/>
      <c r="Z105" s="8">
        <f t="shared" si="27"/>
        <v>-0.69044000000000005</v>
      </c>
    </row>
    <row r="106" spans="1:26" s="65" customFormat="1" ht="15" customHeight="1" x14ac:dyDescent="0.3">
      <c r="A106" s="35"/>
      <c r="B106" s="35"/>
      <c r="C106" s="35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35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63" customFormat="1" ht="15" customHeight="1" collapsed="1" x14ac:dyDescent="0.3">
      <c r="A107" s="11"/>
      <c r="B107" s="28" t="s">
        <v>291</v>
      </c>
      <c r="C107" s="11"/>
      <c r="D107" s="5">
        <f>SUM(OSRRefD25x_0)</f>
        <v>33877.660000000003</v>
      </c>
      <c r="E107" s="5"/>
      <c r="F107" s="13">
        <f>IF(D$12=0,0,D107/D$12)</f>
        <v>4.7981065035390388E-2</v>
      </c>
      <c r="G107" s="5"/>
      <c r="H107" s="5">
        <f>SUM(OSRRefH25x_0)</f>
        <v>29111</v>
      </c>
      <c r="I107" s="5"/>
      <c r="J107" s="13">
        <f>IF(H$12=0,0,H107/H$12)</f>
        <v>0.1492282534588906</v>
      </c>
      <c r="K107" s="5"/>
      <c r="L107" s="5">
        <f>+D107-H107</f>
        <v>4766.6600000000035</v>
      </c>
      <c r="M107" s="5"/>
      <c r="N107" s="13">
        <f>IF(H107=0,0,L107/H107)</f>
        <v>0.1637408539727252</v>
      </c>
      <c r="O107" s="11"/>
      <c r="P107" s="5">
        <f>SUM(OSRRefP25x_0)</f>
        <v>367580.03</v>
      </c>
      <c r="Q107" s="5"/>
      <c r="R107" s="13">
        <f>IF(P$12=0,0,P107/P$12)</f>
        <v>9.9310413272802434E-2</v>
      </c>
      <c r="S107" s="5"/>
      <c r="T107" s="5">
        <f>SUM(OSRRefT25x_0)</f>
        <v>193672</v>
      </c>
      <c r="U107" s="5"/>
      <c r="V107" s="13">
        <f>IF(T$12=0,0,T107/T$12)</f>
        <v>8.0828551920550371E-2</v>
      </c>
      <c r="W107" s="5"/>
      <c r="X107" s="5">
        <f>+P107-T107</f>
        <v>173908.03000000003</v>
      </c>
      <c r="Y107" s="5"/>
      <c r="Z107" s="13">
        <f>IF(T107=0,0,X107/T107)</f>
        <v>0.89795133008385331</v>
      </c>
    </row>
    <row r="108" spans="1:26" s="70" customFormat="1" ht="15" hidden="1" customHeight="1" outlineLevel="1" x14ac:dyDescent="0.3">
      <c r="A108" s="42"/>
      <c r="B108" s="12" t="str">
        <f>CONCATENATE("          ","9150"," - ","MISC. INCOME")</f>
        <v xml:space="preserve">          9150 - MISC. INCOME</v>
      </c>
      <c r="C108" s="12"/>
      <c r="D108" s="3">
        <f>--31888.66</f>
        <v>31888.66</v>
      </c>
      <c r="E108" s="3"/>
      <c r="F108" s="20">
        <f>IF(D$12=0,0,D108/D$12)</f>
        <v>4.5164036398955887E-2</v>
      </c>
      <c r="G108" s="3"/>
      <c r="H108" s="3">
        <v>29111</v>
      </c>
      <c r="I108" s="3"/>
      <c r="J108" s="20">
        <f>IF(H$12=0,0,H108/H$12)</f>
        <v>0.1492282534588906</v>
      </c>
      <c r="K108" s="3"/>
      <c r="L108" s="3">
        <f>+D108-H108</f>
        <v>2777.66</v>
      </c>
      <c r="M108" s="3"/>
      <c r="N108" s="20">
        <f>IF(H108=0,0,L108/H108)</f>
        <v>9.5416165710556139E-2</v>
      </c>
      <c r="O108" s="12"/>
      <c r="P108" s="3">
        <f>--110760.33</f>
        <v>110760.33</v>
      </c>
      <c r="Q108" s="3"/>
      <c r="R108" s="20">
        <f>IF(P$12=0,0,P108/P$12)</f>
        <v>2.9924515068275002E-2</v>
      </c>
      <c r="S108" s="3"/>
      <c r="T108" s="3">
        <v>77006</v>
      </c>
      <c r="U108" s="3"/>
      <c r="V108" s="20">
        <f>IF(T$12=0,0,T108/T$12)</f>
        <v>3.21382722809384E-2</v>
      </c>
      <c r="W108" s="3"/>
      <c r="X108" s="3">
        <f>+P108-T108</f>
        <v>33754.33</v>
      </c>
      <c r="Y108" s="3"/>
      <c r="Z108" s="20">
        <f>IF(T108=0,0,X108/T108)</f>
        <v>0.43833376620003639</v>
      </c>
    </row>
    <row r="109" spans="1:26" s="70" customFormat="1" ht="15" hidden="1" customHeight="1" outlineLevel="1" x14ac:dyDescent="0.3">
      <c r="A109" s="42"/>
      <c r="B109" s="12" t="str">
        <f>CONCATENATE("          ","9160"," - ","MISC. INCOME")</f>
        <v xml:space="preserve">          9160 - MISC. INCOME</v>
      </c>
      <c r="C109" s="12"/>
      <c r="D109" s="3">
        <f>0</f>
        <v>0</v>
      </c>
      <c r="E109" s="3"/>
      <c r="F109" s="20">
        <f>IF(D$12=0,0,D109/D$12)</f>
        <v>0</v>
      </c>
      <c r="G109" s="3"/>
      <c r="H109" s="3">
        <v>0</v>
      </c>
      <c r="I109" s="3"/>
      <c r="J109" s="20">
        <f>IF(H$12=0,0,H109/H$12)</f>
        <v>0</v>
      </c>
      <c r="K109" s="3"/>
      <c r="L109" s="3">
        <f>+D109-H109</f>
        <v>0</v>
      </c>
      <c r="M109" s="3"/>
      <c r="N109" s="20">
        <f>IF(H109=0,0,L109/H109)</f>
        <v>0</v>
      </c>
      <c r="O109" s="12"/>
      <c r="P109" s="3">
        <f>0</f>
        <v>0</v>
      </c>
      <c r="Q109" s="3"/>
      <c r="R109" s="20">
        <f>IF(P$12=0,0,P109/P$12)</f>
        <v>0</v>
      </c>
      <c r="S109" s="3"/>
      <c r="T109" s="3">
        <v>116666</v>
      </c>
      <c r="U109" s="3"/>
      <c r="V109" s="20">
        <f>IF(T$12=0,0,T109/T$12)</f>
        <v>4.8690279639611964E-2</v>
      </c>
      <c r="W109" s="3"/>
      <c r="X109" s="3">
        <f>+P109-T109</f>
        <v>-116666</v>
      </c>
      <c r="Y109" s="3"/>
      <c r="Z109" s="20">
        <f>IF(T109=0,0,X109/T109)</f>
        <v>-1</v>
      </c>
    </row>
    <row r="110" spans="1:26" s="70" customFormat="1" ht="15" hidden="1" customHeight="1" outlineLevel="1" x14ac:dyDescent="0.3">
      <c r="A110" s="42"/>
      <c r="B110" s="12" t="str">
        <f>CONCATENATE("          ","9163"," - ","MISC. INCOME")</f>
        <v xml:space="preserve">          9163 - MISC. INCOME</v>
      </c>
      <c r="C110" s="12"/>
      <c r="D110" s="3">
        <f>--1989</f>
        <v>1989</v>
      </c>
      <c r="E110" s="3"/>
      <c r="F110" s="20">
        <f>IF(D$12=0,0,D110/D$12)</f>
        <v>2.8170286364344963E-3</v>
      </c>
      <c r="G110" s="3"/>
      <c r="H110" s="3"/>
      <c r="I110" s="3"/>
      <c r="J110" s="20">
        <f>IF(H$12=0,0,H110/H$12)</f>
        <v>0</v>
      </c>
      <c r="K110" s="3"/>
      <c r="L110" s="3">
        <f>+D110-H110</f>
        <v>1989</v>
      </c>
      <c r="M110" s="3"/>
      <c r="N110" s="20">
        <f>IF(H110=0,0,L110/H110)</f>
        <v>0</v>
      </c>
      <c r="O110" s="12"/>
      <c r="P110" s="3">
        <f>--256819.7</f>
        <v>256819.7</v>
      </c>
      <c r="Q110" s="3"/>
      <c r="R110" s="20">
        <f>IF(P$12=0,0,P110/P$12)</f>
        <v>6.9385898204527424E-2</v>
      </c>
      <c r="S110" s="3"/>
      <c r="T110" s="3"/>
      <c r="U110" s="3"/>
      <c r="V110" s="20">
        <f>IF(T$12=0,0,T110/T$12)</f>
        <v>0</v>
      </c>
      <c r="W110" s="3"/>
      <c r="X110" s="3">
        <f>+P110-T110</f>
        <v>256819.7</v>
      </c>
      <c r="Y110" s="3"/>
      <c r="Z110" s="20">
        <f>IF(T110=0,0,X110/T110)</f>
        <v>0</v>
      </c>
    </row>
    <row r="111" spans="1:26" ht="15" customHeight="1" x14ac:dyDescent="0.3">
      <c r="A111" s="10"/>
      <c r="B111" s="11"/>
      <c r="C111" s="11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O111" s="11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3" customFormat="1" ht="15" customHeight="1" x14ac:dyDescent="0.3">
      <c r="A112" s="11"/>
      <c r="B112" s="27" t="s">
        <v>292</v>
      </c>
      <c r="C112" s="27"/>
      <c r="D112" s="21">
        <f>+D40-D42+D107</f>
        <v>307594.28000000014</v>
      </c>
      <c r="E112" s="15"/>
      <c r="F112" s="23">
        <f>IF(D$12=0,0,D112/D$12)</f>
        <v>0.43564700611536</v>
      </c>
      <c r="G112" s="15"/>
      <c r="H112" s="21">
        <f>+H40-H42+H107</f>
        <v>17270.530502596142</v>
      </c>
      <c r="I112" s="15"/>
      <c r="J112" s="23">
        <f>IF(H$12=0,0,H112/H$12)</f>
        <v>8.85318643540558E-2</v>
      </c>
      <c r="K112" s="17"/>
      <c r="L112" s="21">
        <f>+D112-H112</f>
        <v>290323.74949740397</v>
      </c>
      <c r="M112" s="17"/>
      <c r="N112" s="23">
        <f>IF(H112=0,0,L112/H112)</f>
        <v>16.810355041135644</v>
      </c>
      <c r="O112" s="28"/>
      <c r="P112" s="21">
        <f>+P40-P42+P107</f>
        <v>1467875.199999999</v>
      </c>
      <c r="Q112" s="15"/>
      <c r="R112" s="23">
        <f>IF(P$12=0,0,P112/P$12)</f>
        <v>0.39658110029779753</v>
      </c>
      <c r="S112" s="15"/>
      <c r="T112" s="21">
        <f>+T40-T42+T107</f>
        <v>481943.01974684605</v>
      </c>
      <c r="U112" s="15"/>
      <c r="V112" s="23">
        <f>IF(T$12=0,0,T112/T$12)</f>
        <v>0.20113778137446187</v>
      </c>
      <c r="W112" s="17"/>
      <c r="X112" s="21">
        <f>+P112-T112</f>
        <v>985932.18025315297</v>
      </c>
      <c r="Y112" s="17"/>
      <c r="Z112" s="23">
        <f>IF(T112=0,0,X112/T112)</f>
        <v>2.045744288963955</v>
      </c>
    </row>
    <row r="113" spans="1:26" ht="15" customHeight="1" x14ac:dyDescent="0.3">
      <c r="A113" s="10"/>
      <c r="B113" s="11"/>
      <c r="C113" s="10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3" customFormat="1" ht="15" customHeight="1" x14ac:dyDescent="0.3">
      <c r="A114" s="49"/>
      <c r="B114" s="11" t="s">
        <v>293</v>
      </c>
      <c r="C114" s="11"/>
      <c r="D114" s="5">
        <v>61823.3</v>
      </c>
      <c r="E114" s="5"/>
      <c r="F114" s="13">
        <f>IF(D$12=0,0,D114/D$12)</f>
        <v>8.7560586475053187E-2</v>
      </c>
      <c r="G114" s="5"/>
      <c r="H114" s="5">
        <v>26711</v>
      </c>
      <c r="I114" s="5"/>
      <c r="J114" s="13">
        <f>IF(H$12=0,0,H114/H$12)</f>
        <v>0.1369254191934467</v>
      </c>
      <c r="K114" s="5"/>
      <c r="L114" s="5">
        <f>+D114-H114</f>
        <v>35112.300000000003</v>
      </c>
      <c r="M114" s="5"/>
      <c r="N114" s="13">
        <f>IF(H114=0,0,L114/H114)</f>
        <v>1.3145258507730899</v>
      </c>
      <c r="O114" s="11"/>
      <c r="P114" s="5">
        <v>419300.36</v>
      </c>
      <c r="Q114" s="5"/>
      <c r="R114" s="13">
        <f>IF(P$12=0,0,P114/P$12)</f>
        <v>0.11328388007649609</v>
      </c>
      <c r="S114" s="5"/>
      <c r="T114" s="5">
        <v>294753</v>
      </c>
      <c r="U114" s="5"/>
      <c r="V114" s="13">
        <f>IF(T$12=0,0,T114/T$12)</f>
        <v>0.12301446860794529</v>
      </c>
      <c r="W114" s="5"/>
      <c r="X114" s="5">
        <f>+P114-T114</f>
        <v>124547.35999999999</v>
      </c>
      <c r="Y114" s="5"/>
      <c r="Z114" s="13">
        <f>IF(T114=0,0,X114/T114)</f>
        <v>0.42254823530210034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11"/>
      <c r="B116" s="27" t="s">
        <v>294</v>
      </c>
      <c r="C116" s="27"/>
      <c r="D116" s="29">
        <f>+D112-D114</f>
        <v>245770.98000000016</v>
      </c>
      <c r="E116" s="15"/>
      <c r="F116" s="30">
        <f>IF(D$12=0,0,D116/D$12)</f>
        <v>0.34808641964030684</v>
      </c>
      <c r="G116" s="15"/>
      <c r="H116" s="29">
        <f>+H112-H114</f>
        <v>-9440.4694974038575</v>
      </c>
      <c r="I116" s="15"/>
      <c r="J116" s="30">
        <f>IF(H$12=0,0,H116/H$12)</f>
        <v>-4.8393554839390895E-2</v>
      </c>
      <c r="K116" s="17"/>
      <c r="L116" s="29">
        <f>D116-H116</f>
        <v>255211.44949740401</v>
      </c>
      <c r="M116" s="17"/>
      <c r="N116" s="30">
        <f>IF(H116=0,0,L116/H116)</f>
        <v>-27.033766654040619</v>
      </c>
      <c r="O116" s="28"/>
      <c r="P116" s="29">
        <f>+P112-P114</f>
        <v>1048574.839999999</v>
      </c>
      <c r="Q116" s="15"/>
      <c r="R116" s="30">
        <f>IF(P$12=0,0,P116/P$12)</f>
        <v>0.28329722022130144</v>
      </c>
      <c r="S116" s="15"/>
      <c r="T116" s="29">
        <f>+T112-T114</f>
        <v>187190.01974684605</v>
      </c>
      <c r="U116" s="15"/>
      <c r="V116" s="30">
        <f>IF(T$12=0,0,T116/T$12)</f>
        <v>7.8123312766516559E-2</v>
      </c>
      <c r="W116" s="17"/>
      <c r="X116" s="29">
        <f>P116-T116</f>
        <v>861384.82025315298</v>
      </c>
      <c r="Y116" s="17"/>
      <c r="Z116" s="30">
        <f>IF(T116=0,0,X116/T116)</f>
        <v>4.6016599678662429</v>
      </c>
    </row>
    <row r="117" spans="1:26" ht="15" customHeight="1" x14ac:dyDescent="0.3">
      <c r="A117" s="10"/>
      <c r="B117" s="10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ht="15" customHeight="1" x14ac:dyDescent="0.3">
      <c r="A118" s="10"/>
      <c r="B118" s="10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3" customFormat="1" ht="15" customHeight="1" x14ac:dyDescent="0.3">
      <c r="A119" s="11"/>
      <c r="B119" s="27" t="s">
        <v>297</v>
      </c>
      <c r="C119" s="27"/>
      <c r="D119" s="32">
        <f>SUM(D116:D118)</f>
        <v>245770.98000000016</v>
      </c>
      <c r="E119" s="15"/>
      <c r="F119" s="34">
        <f>IF(D$12=0,0,D119/D$12)</f>
        <v>0.34808641964030684</v>
      </c>
      <c r="G119" s="15"/>
      <c r="H119" s="32">
        <f>SUM(H116:H118)</f>
        <v>-9440.4694974038575</v>
      </c>
      <c r="I119" s="15"/>
      <c r="J119" s="34">
        <f>IF(H$12=0,0,H119/H$12)</f>
        <v>-4.8393554839390895E-2</v>
      </c>
      <c r="K119" s="17"/>
      <c r="L119" s="32">
        <f>+D119-H119</f>
        <v>255211.44949740401</v>
      </c>
      <c r="M119" s="17"/>
      <c r="N119" s="34">
        <f>IF(H119=0,0,L119/H119)</f>
        <v>-27.033766654040619</v>
      </c>
      <c r="O119" s="28"/>
      <c r="P119" s="32">
        <f>SUM(P116:P118)</f>
        <v>1048574.839999999</v>
      </c>
      <c r="Q119" s="15"/>
      <c r="R119" s="34">
        <f>IF(P$12=0,0,P119/P$12)</f>
        <v>0.28329722022130144</v>
      </c>
      <c r="S119" s="15"/>
      <c r="T119" s="32">
        <f>SUM(T116:T118)</f>
        <v>187190.01974684605</v>
      </c>
      <c r="U119" s="15"/>
      <c r="V119" s="34">
        <f>IF(T$12=0,0,T119/T$12)</f>
        <v>7.8123312766516559E-2</v>
      </c>
      <c r="W119" s="17"/>
      <c r="X119" s="32">
        <f>+P119-T119</f>
        <v>861384.82025315298</v>
      </c>
      <c r="Y119" s="17"/>
      <c r="Z119" s="34">
        <f>IF(T119=0,0,X119/T119)</f>
        <v>4.6016599678662429</v>
      </c>
    </row>
    <row r="120" spans="1:26" ht="15" customHeight="1" x14ac:dyDescent="0.3">
      <c r="A120" s="10"/>
      <c r="C120" s="10"/>
      <c r="D120" s="19"/>
      <c r="E120" s="19"/>
      <c r="G120" s="19"/>
      <c r="H120" s="19"/>
      <c r="I120" s="19"/>
      <c r="J120" s="40"/>
      <c r="K120" s="19"/>
      <c r="L120" s="19"/>
      <c r="M120" s="19"/>
      <c r="P120" s="19"/>
      <c r="Q120" s="19"/>
      <c r="R120" s="40"/>
      <c r="S120" s="19"/>
      <c r="T120" s="19"/>
      <c r="U120" s="19"/>
      <c r="V120" s="40"/>
      <c r="W120" s="19"/>
      <c r="X120" s="19"/>
    </row>
    <row r="121" spans="1:26" ht="15" customHeight="1" x14ac:dyDescent="0.3">
      <c r="A121" s="10"/>
      <c r="B121" s="56">
        <v>44694.888552430559</v>
      </c>
      <c r="D121" s="19"/>
      <c r="E121" s="19"/>
      <c r="G121" s="19"/>
      <c r="H121" s="19"/>
      <c r="I121" s="19"/>
      <c r="J121" s="40"/>
      <c r="K121" s="19"/>
      <c r="L121" s="19"/>
      <c r="M121" s="19"/>
      <c r="P121" s="19"/>
      <c r="Q121" s="19"/>
      <c r="R121" s="40"/>
      <c r="S121" s="19"/>
      <c r="T121" s="19"/>
      <c r="U121" s="19"/>
      <c r="V121" s="40"/>
      <c r="W121" s="19"/>
      <c r="X121" s="19"/>
    </row>
    <row r="122" spans="1:26" ht="15" customHeight="1" x14ac:dyDescent="0.3">
      <c r="A122" s="10"/>
      <c r="B122" s="50" t="s">
        <v>298</v>
      </c>
      <c r="D122" s="19"/>
      <c r="E122" s="19"/>
      <c r="G122" s="19"/>
      <c r="H122" s="19"/>
      <c r="I122" s="19"/>
      <c r="J122" s="40"/>
      <c r="K122" s="19"/>
      <c r="L122" s="19"/>
      <c r="M122" s="19"/>
      <c r="P122" s="19"/>
      <c r="Q122" s="19"/>
      <c r="R122" s="40"/>
      <c r="S122" s="19"/>
      <c r="T122" s="19"/>
      <c r="U122" s="19"/>
      <c r="V122" s="40"/>
      <c r="W122" s="19"/>
      <c r="X122" s="19"/>
    </row>
    <row r="123" spans="1:26" ht="15" customHeight="1" x14ac:dyDescent="0.3">
      <c r="A123" s="10"/>
      <c r="B123" s="51"/>
      <c r="D123" s="19"/>
      <c r="E123" s="19"/>
      <c r="G123" s="19"/>
      <c r="H123" s="19"/>
      <c r="I123" s="19"/>
      <c r="J123" s="40"/>
      <c r="K123" s="19"/>
      <c r="L123" s="19"/>
      <c r="M123" s="19"/>
      <c r="P123" s="19"/>
      <c r="Q123" s="19"/>
      <c r="R123" s="40"/>
      <c r="S123" s="19"/>
      <c r="T123" s="19"/>
      <c r="U123" s="19"/>
      <c r="V123" s="40"/>
      <c r="W123" s="19"/>
      <c r="X123" s="19"/>
    </row>
    <row r="124" spans="1:26" ht="15" customHeight="1" x14ac:dyDescent="0.3"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3E337-9793-B19C-59CD-7FA3A5AD6626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","326"," - ","2nd Street Store")</f>
        <v>Department 326 - 2nd Street Store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45642.609999999993</v>
      </c>
      <c r="E12" s="5"/>
      <c r="F12" s="13"/>
      <c r="G12" s="5"/>
      <c r="H12" s="5">
        <f>SUM(OSRRefH13x_0)</f>
        <v>60655</v>
      </c>
      <c r="I12" s="5"/>
      <c r="J12" s="13"/>
      <c r="K12" s="5"/>
      <c r="L12" s="5">
        <f>+D12-H12</f>
        <v>-15012.390000000007</v>
      </c>
      <c r="M12" s="5"/>
      <c r="N12" s="13">
        <f>IF(H12=0,0,L12/H12)</f>
        <v>-0.24750457505564269</v>
      </c>
      <c r="O12" s="11"/>
      <c r="P12" s="5">
        <f>SUM(OSRRefP13x_0)</f>
        <v>336416.93000000005</v>
      </c>
      <c r="Q12" s="5"/>
      <c r="R12" s="13"/>
      <c r="S12" s="5"/>
      <c r="T12" s="5">
        <f>SUM(OSRRefT13x_0)</f>
        <v>303333</v>
      </c>
      <c r="U12" s="5"/>
      <c r="V12" s="13"/>
      <c r="W12" s="5"/>
      <c r="X12" s="5">
        <f>+P12-T12</f>
        <v>33083.930000000051</v>
      </c>
      <c r="Y12" s="5"/>
      <c r="Z12" s="13">
        <f>IF(T12=0,0,X12/T12)</f>
        <v>0.10906802095386935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--48634.38</f>
        <v>48634.38</v>
      </c>
      <c r="E13" s="3"/>
      <c r="F13" s="20"/>
      <c r="G13" s="3"/>
      <c r="H13" s="3">
        <v>60655</v>
      </c>
      <c r="I13" s="3"/>
      <c r="J13" s="20"/>
      <c r="K13" s="3"/>
      <c r="L13" s="3">
        <f>+D13-H13</f>
        <v>-12020.620000000003</v>
      </c>
      <c r="M13" s="3"/>
      <c r="N13" s="20">
        <f>IF(H13=0,0,L13/H13)</f>
        <v>-0.19818019948891274</v>
      </c>
      <c r="O13" s="12"/>
      <c r="P13" s="3">
        <f>--357164.03</f>
        <v>357164.03</v>
      </c>
      <c r="Q13" s="3"/>
      <c r="R13" s="20"/>
      <c r="S13" s="3"/>
      <c r="T13" s="3">
        <v>303333</v>
      </c>
      <c r="U13" s="3"/>
      <c r="V13" s="20"/>
      <c r="W13" s="3"/>
      <c r="X13" s="3">
        <f>+P13-T13</f>
        <v>53831.030000000028</v>
      </c>
      <c r="Y13" s="3"/>
      <c r="Z13" s="20">
        <f>IF(T13=0,0,X13/T13)</f>
        <v>0.17746512908255951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--31.89</f>
        <v>31.89</v>
      </c>
      <c r="E14" s="3"/>
      <c r="F14" s="20"/>
      <c r="G14" s="3"/>
      <c r="H14" s="3"/>
      <c r="I14" s="3"/>
      <c r="J14" s="20"/>
      <c r="K14" s="3"/>
      <c r="L14" s="3">
        <f>+D14-H14</f>
        <v>31.89</v>
      </c>
      <c r="M14" s="3"/>
      <c r="N14" s="20">
        <f>IF(H14=0,0,L14/H14)</f>
        <v>0</v>
      </c>
      <c r="O14" s="12"/>
      <c r="P14" s="3">
        <f>--260.89</f>
        <v>260.89</v>
      </c>
      <c r="Q14" s="3"/>
      <c r="R14" s="20"/>
      <c r="S14" s="3"/>
      <c r="T14" s="3"/>
      <c r="U14" s="3"/>
      <c r="V14" s="20"/>
      <c r="W14" s="3"/>
      <c r="X14" s="3">
        <f>+P14-T14</f>
        <v>260.89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-2417.98</f>
        <v>-2417.98</v>
      </c>
      <c r="E15" s="3"/>
      <c r="F15" s="20"/>
      <c r="G15" s="3"/>
      <c r="H15" s="3"/>
      <c r="I15" s="3"/>
      <c r="J15" s="20"/>
      <c r="K15" s="3"/>
      <c r="L15" s="3">
        <f>+D15-H15</f>
        <v>-2417.98</v>
      </c>
      <c r="M15" s="3"/>
      <c r="N15" s="20">
        <f>IF(H15=0,0,L15/H15)</f>
        <v>0</v>
      </c>
      <c r="O15" s="12"/>
      <c r="P15" s="3">
        <f>-14216.89</f>
        <v>-14216.89</v>
      </c>
      <c r="Q15" s="3"/>
      <c r="R15" s="20"/>
      <c r="S15" s="3"/>
      <c r="T15" s="3"/>
      <c r="U15" s="3"/>
      <c r="V15" s="20"/>
      <c r="W15" s="3"/>
      <c r="X15" s="3">
        <f>+P15-T15</f>
        <v>-14216.89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","4500"," - ","SALES DISCOUNT")</f>
        <v xml:space="preserve">          4500 - SALES DISCOUNT</v>
      </c>
      <c r="C16" s="12"/>
      <c r="D16" s="3">
        <f>-605.68</f>
        <v>-605.67999999999995</v>
      </c>
      <c r="E16" s="3"/>
      <c r="F16" s="20"/>
      <c r="G16" s="3"/>
      <c r="H16" s="3"/>
      <c r="I16" s="3"/>
      <c r="J16" s="20"/>
      <c r="K16" s="3"/>
      <c r="L16" s="3">
        <f>+D16-H16</f>
        <v>-605.67999999999995</v>
      </c>
      <c r="M16" s="3"/>
      <c r="N16" s="20">
        <f>IF(H16=0,0,L16/H16)</f>
        <v>0</v>
      </c>
      <c r="O16" s="12"/>
      <c r="P16" s="3">
        <f>-6791.1</f>
        <v>-6791.1</v>
      </c>
      <c r="Q16" s="3"/>
      <c r="R16" s="20"/>
      <c r="S16" s="3"/>
      <c r="T16" s="3"/>
      <c r="U16" s="3"/>
      <c r="V16" s="20"/>
      <c r="W16" s="3"/>
      <c r="X16" s="3">
        <f>+P16-T16</f>
        <v>-6791.1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20811.73</v>
      </c>
      <c r="E18" s="5"/>
      <c r="F18" s="13">
        <f>IF(D$12=0,0,D18/D$12)</f>
        <v>0.45597151433715122</v>
      </c>
      <c r="G18" s="5"/>
      <c r="H18" s="5">
        <f>SUM(OSRRefH16x_0)</f>
        <v>27295</v>
      </c>
      <c r="I18" s="5"/>
      <c r="J18" s="13">
        <f>IF(H$12=0,0,H18/H$12)</f>
        <v>0.45000412167175008</v>
      </c>
      <c r="K18" s="5"/>
      <c r="L18" s="5">
        <f>+D18-H18</f>
        <v>-6483.27</v>
      </c>
      <c r="M18" s="5"/>
      <c r="N18" s="13">
        <f>IF(H18=0,0,L18/H18)</f>
        <v>-0.23752592049825977</v>
      </c>
      <c r="O18" s="11"/>
      <c r="P18" s="5">
        <f>SUM(OSRRefP16x_0)</f>
        <v>154422.71</v>
      </c>
      <c r="Q18" s="5"/>
      <c r="R18" s="13">
        <f>IF(P$12=0,0,P18/P$12)</f>
        <v>0.45902181557866295</v>
      </c>
      <c r="S18" s="5"/>
      <c r="T18" s="5">
        <f>SUM(OSRRefT16x_0)</f>
        <v>136502</v>
      </c>
      <c r="U18" s="5"/>
      <c r="V18" s="13">
        <f>IF(T$12=0,0,T18/T$12)</f>
        <v>0.45000708791987681</v>
      </c>
      <c r="W18" s="5"/>
      <c r="X18" s="5">
        <f>+P18-T18</f>
        <v>17920.709999999992</v>
      </c>
      <c r="Y18" s="5"/>
      <c r="Z18" s="13">
        <f>IF(T18=0,0,X18/T18)</f>
        <v>0.13128532915268634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172.75</v>
      </c>
      <c r="E19" s="3"/>
      <c r="F19" s="20">
        <f>IF(D$12=0,0,D19/D$12)</f>
        <v>3.784840525114581E-3</v>
      </c>
      <c r="G19" s="3"/>
      <c r="H19" s="3">
        <v>27295</v>
      </c>
      <c r="I19" s="3"/>
      <c r="J19" s="20">
        <f>IF(H$12=0,0,H19/H$12)</f>
        <v>0.45000412167175008</v>
      </c>
      <c r="K19" s="3"/>
      <c r="L19" s="3">
        <f>+D19-H19</f>
        <v>-27122.25</v>
      </c>
      <c r="M19" s="3"/>
      <c r="N19" s="20">
        <f>IF(H19=0,0,L19/H19)</f>
        <v>-0.99367100201502112</v>
      </c>
      <c r="O19" s="12"/>
      <c r="P19" s="3">
        <v>5561.65</v>
      </c>
      <c r="Q19" s="3"/>
      <c r="R19" s="20">
        <f>IF(P$12=0,0,P19/P$12)</f>
        <v>1.6532015793616565E-2</v>
      </c>
      <c r="S19" s="3"/>
      <c r="T19" s="3">
        <v>136502</v>
      </c>
      <c r="U19" s="3"/>
      <c r="V19" s="20">
        <f>IF(T$12=0,0,T19/T$12)</f>
        <v>0.45000708791987681</v>
      </c>
      <c r="W19" s="3"/>
      <c r="X19" s="3">
        <f>+P19-T19</f>
        <v>-130940.35</v>
      </c>
      <c r="Y19" s="3"/>
      <c r="Z19" s="20">
        <f>IF(T19=0,0,X19/T19)</f>
        <v>-0.9592559083383394</v>
      </c>
    </row>
    <row r="20" spans="1:26" s="70" customFormat="1" ht="15" hidden="1" customHeight="1" outlineLevel="1" x14ac:dyDescent="0.3">
      <c r="A20" s="42"/>
      <c r="B20" s="12" t="str">
        <f>CONCATENATE("          ","5200"," - ","PURCHASES OFFSET")</f>
        <v xml:space="preserve">          5200 - PURCHASES OFFSET</v>
      </c>
      <c r="C20" s="12"/>
      <c r="D20" s="3">
        <v>-172.75</v>
      </c>
      <c r="E20" s="3"/>
      <c r="F20" s="20">
        <f>IF(D$12=0,0,D20/D$12)</f>
        <v>-3.784840525114581E-3</v>
      </c>
      <c r="G20" s="3"/>
      <c r="H20" s="3"/>
      <c r="I20" s="3"/>
      <c r="J20" s="20">
        <f>IF(H$12=0,0,H20/H$12)</f>
        <v>0</v>
      </c>
      <c r="K20" s="3"/>
      <c r="L20" s="3">
        <f>+D20-H20</f>
        <v>-172.75</v>
      </c>
      <c r="M20" s="3"/>
      <c r="N20" s="20">
        <f>IF(H20=0,0,L20/H20)</f>
        <v>0</v>
      </c>
      <c r="O20" s="12"/>
      <c r="P20" s="3">
        <v>-5654.64</v>
      </c>
      <c r="Q20" s="3"/>
      <c r="R20" s="20">
        <f>IF(P$12=0,0,P20/P$12)</f>
        <v>-1.6808428755354255E-2</v>
      </c>
      <c r="S20" s="3"/>
      <c r="T20" s="3"/>
      <c r="U20" s="3"/>
      <c r="V20" s="20">
        <f>IF(T$12=0,0,T20/T$12)</f>
        <v>0</v>
      </c>
      <c r="W20" s="3"/>
      <c r="X20" s="3">
        <f>+P20-T20</f>
        <v>-5654.64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","5300"," - ","COG$ OFFSET")</f>
        <v xml:space="preserve">          5300 - COG$ OFFSET</v>
      </c>
      <c r="C21" s="12"/>
      <c r="D21" s="3">
        <v>20811.73</v>
      </c>
      <c r="E21" s="3"/>
      <c r="F21" s="20">
        <f>IF(D$12=0,0,D21/D$12)</f>
        <v>0.45597151433715122</v>
      </c>
      <c r="G21" s="3"/>
      <c r="H21" s="3"/>
      <c r="I21" s="3"/>
      <c r="J21" s="20">
        <f>IF(H$12=0,0,H21/H$12)</f>
        <v>0</v>
      </c>
      <c r="K21" s="3"/>
      <c r="L21" s="3">
        <f>+D21-H21</f>
        <v>20811.73</v>
      </c>
      <c r="M21" s="3"/>
      <c r="N21" s="20">
        <f>IF(H21=0,0,L21/H21)</f>
        <v>0</v>
      </c>
      <c r="O21" s="12"/>
      <c r="P21" s="3">
        <v>154422.71</v>
      </c>
      <c r="Q21" s="3"/>
      <c r="R21" s="20">
        <f>IF(P$12=0,0,P21/P$12)</f>
        <v>0.45902181557866295</v>
      </c>
      <c r="S21" s="3"/>
      <c r="T21" s="3"/>
      <c r="U21" s="3"/>
      <c r="V21" s="20">
        <f>IF(T$12=0,0,T21/T$12)</f>
        <v>0</v>
      </c>
      <c r="W21" s="3"/>
      <c r="X21" s="3">
        <f>+P21-T21</f>
        <v>154422.71</v>
      </c>
      <c r="Y21" s="3"/>
      <c r="Z21" s="20">
        <f>IF(T21=0,0,X21/T21)</f>
        <v>0</v>
      </c>
    </row>
    <row r="22" spans="1:26" s="70" customFormat="1" ht="15" hidden="1" customHeight="1" outlineLevel="1" x14ac:dyDescent="0.3">
      <c r="A22" s="42"/>
      <c r="B22" s="12" t="str">
        <f>CONCATENATE("          ","5500"," - ","FREIGHT-IN")</f>
        <v xml:space="preserve">          5500 - FREIGHT-IN</v>
      </c>
      <c r="C22" s="12"/>
      <c r="D22" s="3"/>
      <c r="E22" s="3"/>
      <c r="F22" s="20">
        <f>IF(D$12=0,0,D22/D$12)</f>
        <v>0</v>
      </c>
      <c r="G22" s="3"/>
      <c r="H22" s="3"/>
      <c r="I22" s="3"/>
      <c r="J22" s="20">
        <f>IF(H$12=0,0,H22/H$12)</f>
        <v>0</v>
      </c>
      <c r="K22" s="3"/>
      <c r="L22" s="3">
        <f>+D22-H22</f>
        <v>0</v>
      </c>
      <c r="M22" s="3"/>
      <c r="N22" s="20">
        <f>IF(H22=0,0,L22/H22)</f>
        <v>0</v>
      </c>
      <c r="O22" s="12"/>
      <c r="P22" s="3">
        <v>92.99</v>
      </c>
      <c r="Q22" s="3"/>
      <c r="R22" s="20">
        <f>IF(P$12=0,0,P22/P$12)</f>
        <v>2.7641296173768658E-4</v>
      </c>
      <c r="S22" s="3"/>
      <c r="T22" s="3"/>
      <c r="U22" s="3"/>
      <c r="V22" s="20">
        <f>IF(T$12=0,0,T22/T$12)</f>
        <v>0</v>
      </c>
      <c r="W22" s="3"/>
      <c r="X22" s="3">
        <f>+P22-T22</f>
        <v>92.99</v>
      </c>
      <c r="Y22" s="3"/>
      <c r="Z22" s="20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7" t="s">
        <v>289</v>
      </c>
      <c r="C24" s="27"/>
      <c r="D24" s="21">
        <f>D12-D18</f>
        <v>24830.879999999994</v>
      </c>
      <c r="E24" s="15"/>
      <c r="F24" s="23">
        <f>IF(D$12=0,0,D24/D$12)</f>
        <v>0.54402848566284878</v>
      </c>
      <c r="G24" s="15"/>
      <c r="H24" s="21">
        <f>H12-H18</f>
        <v>33360</v>
      </c>
      <c r="I24" s="15"/>
      <c r="J24" s="23">
        <f>IF(H$12=0,0,H24/H$12)</f>
        <v>0.54999587832824992</v>
      </c>
      <c r="K24" s="17"/>
      <c r="L24" s="21">
        <f>+D24-H24</f>
        <v>-8529.1200000000063</v>
      </c>
      <c r="M24" s="17"/>
      <c r="N24" s="23">
        <f>IF(H24=0,0,L24/H24)</f>
        <v>-0.25566906474820161</v>
      </c>
      <c r="O24" s="28"/>
      <c r="P24" s="21">
        <f>P12-P18</f>
        <v>181994.22000000006</v>
      </c>
      <c r="Q24" s="15"/>
      <c r="R24" s="23">
        <f>IF(P$12=0,0,P24/P$12)</f>
        <v>0.54097818442133705</v>
      </c>
      <c r="S24" s="15"/>
      <c r="T24" s="21">
        <f>T12-T18</f>
        <v>166831</v>
      </c>
      <c r="U24" s="15"/>
      <c r="V24" s="23">
        <f>IF(T$12=0,0,T24/T$12)</f>
        <v>0.54999291208012313</v>
      </c>
      <c r="W24" s="17"/>
      <c r="X24" s="21">
        <f>+P24-T24</f>
        <v>15163.220000000059</v>
      </c>
      <c r="Y24" s="17"/>
      <c r="Z24" s="23">
        <f>IF(T24=0,0,X24/T24)</f>
        <v>9.0889702753085819E-2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290</v>
      </c>
      <c r="C26" s="11"/>
      <c r="D26" s="22" cm="1">
        <f t="array" ref="D26">SUM(OSRRefD22x_0)</f>
        <v>21324.579999999998</v>
      </c>
      <c r="E26" s="22"/>
      <c r="F26" s="33">
        <f t="shared" ref="F26:F57" si="0">IF(D$12=0,0,D26/D$12)</f>
        <v>0.46720772541272293</v>
      </c>
      <c r="G26" s="22"/>
      <c r="H26" s="22" cm="1">
        <f t="array" ref="H26">SUM(OSRRefH22x_0)</f>
        <v>24054.408929961544</v>
      </c>
      <c r="I26" s="22"/>
      <c r="J26" s="33">
        <f t="shared" ref="J26:J57" si="1">IF(H$12=0,0,H26/H$12)</f>
        <v>0.39657751100422955</v>
      </c>
      <c r="K26" s="5"/>
      <c r="L26" s="22">
        <f t="shared" ref="L26:L57" si="2">+D26-H26</f>
        <v>-2729.8289299615462</v>
      </c>
      <c r="M26" s="5"/>
      <c r="N26" s="33">
        <f t="shared" ref="N26:N57" si="3">IF(H26=0,0,L26/H26)</f>
        <v>-0.11348559583858003</v>
      </c>
      <c r="O26" s="11"/>
      <c r="P26" s="22" cm="1">
        <f t="array" ref="P26">SUM(OSRRefP22x_0)</f>
        <v>176802.34000000011</v>
      </c>
      <c r="Q26" s="22"/>
      <c r="R26" s="33">
        <f t="shared" ref="R26:R57" si="4">IF(P$12=0,0,P26/P$12)</f>
        <v>0.52554531069527355</v>
      </c>
      <c r="S26" s="22"/>
      <c r="T26" s="22" cm="1">
        <f t="array" ref="T26">SUM(OSRRefT22x_0)</f>
        <v>223950.96581786152</v>
      </c>
      <c r="U26" s="22"/>
      <c r="V26" s="33">
        <f t="shared" ref="V26:V57" si="5">IF(T$12=0,0,T26/T$12)</f>
        <v>0.73830069863108039</v>
      </c>
      <c r="W26" s="5"/>
      <c r="X26" s="22">
        <f t="shared" ref="X26:X57" si="6">+P26-T26</f>
        <v>-47148.625817861408</v>
      </c>
      <c r="Y26" s="5"/>
      <c r="Z26" s="33">
        <f t="shared" ref="Z26:Z57" si="7">IF(T26=0,0,X26/T26)</f>
        <v>-0.21053102247483588</v>
      </c>
    </row>
    <row r="27" spans="1:26" s="69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1264.8999999999999</v>
      </c>
      <c r="E27" s="2"/>
      <c r="F27" s="6">
        <f t="shared" si="0"/>
        <v>2.7713139104008296E-2</v>
      </c>
      <c r="G27" s="2"/>
      <c r="H27" s="2">
        <f>SUM(OSRRefH22_0x_0)</f>
        <v>2932.8643145769224</v>
      </c>
      <c r="I27" s="2"/>
      <c r="J27" s="6">
        <f t="shared" si="1"/>
        <v>4.8353215968624554E-2</v>
      </c>
      <c r="K27" s="2"/>
      <c r="L27" s="2">
        <f t="shared" si="2"/>
        <v>-1667.9643145769226</v>
      </c>
      <c r="M27" s="2"/>
      <c r="N27" s="6">
        <f t="shared" si="3"/>
        <v>-0.56871513158205311</v>
      </c>
      <c r="O27" s="14"/>
      <c r="P27" s="2">
        <f>SUM(OSRRefP22_0x_0)</f>
        <v>12857.070000000002</v>
      </c>
      <c r="Q27" s="2"/>
      <c r="R27" s="6">
        <f t="shared" si="4"/>
        <v>3.8217666393899972E-2</v>
      </c>
      <c r="S27" s="2"/>
      <c r="T27" s="2">
        <f>SUM(OSRRefT22_0x_0)</f>
        <v>27341.230202476916</v>
      </c>
      <c r="U27" s="2"/>
      <c r="V27" s="6">
        <f t="shared" si="5"/>
        <v>9.0136022795003892E-2</v>
      </c>
      <c r="W27" s="2"/>
      <c r="X27" s="2">
        <f t="shared" si="6"/>
        <v>-14484.160202476914</v>
      </c>
      <c r="Y27" s="2"/>
      <c r="Z27" s="6">
        <f t="shared" si="7"/>
        <v>-0.52975524858295353</v>
      </c>
    </row>
    <row r="28" spans="1:26" s="70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7">
        <v>217.59</v>
      </c>
      <c r="E28" s="3"/>
      <c r="F28" s="8">
        <f t="shared" si="0"/>
        <v>4.7672558602586497E-3</v>
      </c>
      <c r="G28" s="3"/>
      <c r="H28" s="7">
        <v>740.25276121153797</v>
      </c>
      <c r="I28" s="3"/>
      <c r="J28" s="8">
        <f t="shared" si="1"/>
        <v>1.2204315575163433E-2</v>
      </c>
      <c r="K28" s="3"/>
      <c r="L28" s="7">
        <f t="shared" si="2"/>
        <v>-522.66276121153794</v>
      </c>
      <c r="M28" s="3"/>
      <c r="N28" s="8">
        <f t="shared" si="3"/>
        <v>-0.70605986035920976</v>
      </c>
      <c r="O28" s="12"/>
      <c r="P28" s="7">
        <v>2415.84</v>
      </c>
      <c r="Q28" s="3"/>
      <c r="R28" s="8">
        <f t="shared" si="4"/>
        <v>7.1810892513643702E-3</v>
      </c>
      <c r="S28" s="3"/>
      <c r="T28" s="7">
        <v>6879.9144853615398</v>
      </c>
      <c r="U28" s="3"/>
      <c r="V28" s="8">
        <f t="shared" si="5"/>
        <v>2.2681061689171767E-2</v>
      </c>
      <c r="W28" s="3"/>
      <c r="X28" s="7">
        <f t="shared" si="6"/>
        <v>-4464.0744853615397</v>
      </c>
      <c r="Y28" s="3"/>
      <c r="Z28" s="8">
        <f t="shared" si="7"/>
        <v>-0.6488561005895922</v>
      </c>
    </row>
    <row r="29" spans="1:26" s="70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7">
        <v>98.51</v>
      </c>
      <c r="E29" s="3"/>
      <c r="F29" s="8">
        <f t="shared" si="0"/>
        <v>2.1582902467672206E-3</v>
      </c>
      <c r="G29" s="3"/>
      <c r="H29" s="7">
        <v>197.27722499999999</v>
      </c>
      <c r="I29" s="3"/>
      <c r="J29" s="8">
        <f t="shared" si="1"/>
        <v>3.2524478608523615E-3</v>
      </c>
      <c r="K29" s="3"/>
      <c r="L29" s="7">
        <f t="shared" si="2"/>
        <v>-98.767224999999982</v>
      </c>
      <c r="M29" s="3"/>
      <c r="N29" s="8">
        <f t="shared" si="3"/>
        <v>-0.50065193790109319</v>
      </c>
      <c r="O29" s="12"/>
      <c r="P29" s="7">
        <v>668.32</v>
      </c>
      <c r="Q29" s="3"/>
      <c r="R29" s="8">
        <f t="shared" si="4"/>
        <v>1.9865825420855008E-3</v>
      </c>
      <c r="S29" s="3"/>
      <c r="T29" s="7">
        <v>1731.00351</v>
      </c>
      <c r="U29" s="3"/>
      <c r="V29" s="8">
        <f t="shared" si="5"/>
        <v>5.7066112490233509E-3</v>
      </c>
      <c r="W29" s="3"/>
      <c r="X29" s="7">
        <f t="shared" si="6"/>
        <v>-1062.6835099999998</v>
      </c>
      <c r="Y29" s="3"/>
      <c r="Z29" s="8">
        <f t="shared" si="7"/>
        <v>-0.61391181696679509</v>
      </c>
    </row>
    <row r="30" spans="1:26" s="70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7">
        <v>487.33</v>
      </c>
      <c r="E30" s="3"/>
      <c r="F30" s="8">
        <f t="shared" si="0"/>
        <v>1.0677084417389805E-2</v>
      </c>
      <c r="G30" s="3"/>
      <c r="H30" s="7">
        <v>988.5</v>
      </c>
      <c r="I30" s="3"/>
      <c r="J30" s="8">
        <f t="shared" si="1"/>
        <v>1.6297090099744456E-2</v>
      </c>
      <c r="K30" s="3"/>
      <c r="L30" s="7">
        <f t="shared" si="2"/>
        <v>-501.17</v>
      </c>
      <c r="M30" s="3"/>
      <c r="N30" s="8">
        <f t="shared" si="3"/>
        <v>-0.50700050581689426</v>
      </c>
      <c r="O30" s="12"/>
      <c r="P30" s="7">
        <v>5120.7700000000004</v>
      </c>
      <c r="Q30" s="3"/>
      <c r="R30" s="8">
        <f t="shared" si="4"/>
        <v>1.522149910826426E-2</v>
      </c>
      <c r="S30" s="3"/>
      <c r="T30" s="7">
        <v>9885</v>
      </c>
      <c r="U30" s="3"/>
      <c r="V30" s="8">
        <f t="shared" si="5"/>
        <v>3.2587947898843846E-2</v>
      </c>
      <c r="W30" s="3"/>
      <c r="X30" s="7">
        <f t="shared" si="6"/>
        <v>-4764.2299999999996</v>
      </c>
      <c r="Y30" s="3"/>
      <c r="Z30" s="8">
        <f t="shared" si="7"/>
        <v>-0.48196560445118863</v>
      </c>
    </row>
    <row r="31" spans="1:26" s="70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7">
        <v>17.309999999999999</v>
      </c>
      <c r="E31" s="3"/>
      <c r="F31" s="8">
        <f t="shared" si="0"/>
        <v>3.792508798247953E-4</v>
      </c>
      <c r="G31" s="3"/>
      <c r="H31" s="7">
        <v>26.556549519230799</v>
      </c>
      <c r="I31" s="3"/>
      <c r="J31" s="8">
        <f t="shared" si="1"/>
        <v>4.3782951973012611E-4</v>
      </c>
      <c r="K31" s="3"/>
      <c r="L31" s="7">
        <f t="shared" si="2"/>
        <v>-9.2465495192308005</v>
      </c>
      <c r="M31" s="3"/>
      <c r="N31" s="8">
        <f t="shared" si="3"/>
        <v>-0.34818339304716356</v>
      </c>
      <c r="O31" s="12"/>
      <c r="P31" s="7">
        <v>117.41</v>
      </c>
      <c r="Q31" s="3"/>
      <c r="R31" s="8">
        <f t="shared" si="4"/>
        <v>3.4900146077666182E-4</v>
      </c>
      <c r="S31" s="3"/>
      <c r="T31" s="7">
        <v>233.019703269231</v>
      </c>
      <c r="U31" s="3"/>
      <c r="V31" s="8">
        <f t="shared" si="5"/>
        <v>7.6819766813775951E-4</v>
      </c>
      <c r="W31" s="3"/>
      <c r="X31" s="7">
        <f t="shared" si="6"/>
        <v>-115.60970326923101</v>
      </c>
      <c r="Y31" s="3"/>
      <c r="Z31" s="8">
        <f t="shared" si="7"/>
        <v>-0.49613702896040313</v>
      </c>
    </row>
    <row r="32" spans="1:26" s="70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7">
        <v>109.82</v>
      </c>
      <c r="E32" s="3"/>
      <c r="F32" s="8">
        <f t="shared" si="0"/>
        <v>2.4060850157342013E-3</v>
      </c>
      <c r="G32" s="3"/>
      <c r="H32" s="7">
        <v>257.64855769230797</v>
      </c>
      <c r="I32" s="3"/>
      <c r="J32" s="8">
        <f t="shared" si="1"/>
        <v>4.2477711267382406E-3</v>
      </c>
      <c r="K32" s="3"/>
      <c r="L32" s="7">
        <f t="shared" si="2"/>
        <v>-147.82855769230798</v>
      </c>
      <c r="M32" s="3"/>
      <c r="N32" s="8">
        <f t="shared" si="3"/>
        <v>-0.573760470527646</v>
      </c>
      <c r="O32" s="12"/>
      <c r="P32" s="7">
        <v>978.17</v>
      </c>
      <c r="Q32" s="3"/>
      <c r="R32" s="8">
        <f t="shared" si="4"/>
        <v>2.9076122893101717E-3</v>
      </c>
      <c r="S32" s="3"/>
      <c r="T32" s="7">
        <v>2267.3073076923101</v>
      </c>
      <c r="U32" s="3"/>
      <c r="V32" s="8">
        <f t="shared" si="5"/>
        <v>7.4746476898072747E-3</v>
      </c>
      <c r="W32" s="3"/>
      <c r="X32" s="7">
        <f t="shared" si="6"/>
        <v>-1289.1373076923101</v>
      </c>
      <c r="Y32" s="3"/>
      <c r="Z32" s="8">
        <f t="shared" si="7"/>
        <v>-0.56857634751083119</v>
      </c>
    </row>
    <row r="33" spans="1:26" s="70" customFormat="1" ht="15" hidden="1" customHeight="1" outlineLevel="2" x14ac:dyDescent="0.3">
      <c r="A33" s="26"/>
      <c r="B33" s="12" t="str">
        <f>CONCATENATE("          ","6116"," - ","EDUCATIONAL BENEFITS")</f>
        <v xml:space="preserve">          6116 - EDUCATIONAL BENEFITS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144.28</v>
      </c>
      <c r="E34" s="3"/>
      <c r="F34" s="8">
        <f t="shared" si="0"/>
        <v>3.1610812790942504E-3</v>
      </c>
      <c r="G34" s="3"/>
      <c r="H34" s="7">
        <v>149.79567307692301</v>
      </c>
      <c r="I34" s="3"/>
      <c r="J34" s="8">
        <f t="shared" si="1"/>
        <v>2.4696343760106012E-3</v>
      </c>
      <c r="K34" s="3"/>
      <c r="L34" s="7">
        <f t="shared" si="2"/>
        <v>-5.515673076923008</v>
      </c>
      <c r="M34" s="3"/>
      <c r="N34" s="8">
        <f t="shared" si="3"/>
        <v>-3.6821311080798724E-2</v>
      </c>
      <c r="O34" s="12"/>
      <c r="P34" s="7">
        <v>1211.42</v>
      </c>
      <c r="Q34" s="3"/>
      <c r="R34" s="8">
        <f t="shared" si="4"/>
        <v>3.6009483827107035E-3</v>
      </c>
      <c r="S34" s="3"/>
      <c r="T34" s="7">
        <v>1318.2019230769199</v>
      </c>
      <c r="U34" s="3"/>
      <c r="V34" s="8">
        <f t="shared" si="5"/>
        <v>4.3457254010507264E-3</v>
      </c>
      <c r="W34" s="3"/>
      <c r="X34" s="7">
        <f t="shared" si="6"/>
        <v>-106.78192307691984</v>
      </c>
      <c r="Y34" s="3"/>
      <c r="Z34" s="8">
        <f t="shared" si="7"/>
        <v>-8.1005740628622105E-2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91.01</v>
      </c>
      <c r="E35" s="3"/>
      <c r="F35" s="8">
        <f t="shared" si="0"/>
        <v>1.9939701081949524E-3</v>
      </c>
      <c r="G35" s="3"/>
      <c r="H35" s="7">
        <v>572.83354807692297</v>
      </c>
      <c r="I35" s="3"/>
      <c r="J35" s="8">
        <f t="shared" si="1"/>
        <v>9.4441274103853421E-3</v>
      </c>
      <c r="K35" s="3"/>
      <c r="L35" s="7">
        <f t="shared" si="2"/>
        <v>-481.82354807692298</v>
      </c>
      <c r="M35" s="3"/>
      <c r="N35" s="8">
        <f t="shared" si="3"/>
        <v>-0.84112313200661437</v>
      </c>
      <c r="O35" s="12"/>
      <c r="P35" s="7">
        <v>844.54</v>
      </c>
      <c r="Q35" s="3"/>
      <c r="R35" s="8">
        <f t="shared" si="4"/>
        <v>2.5103968459613485E-3</v>
      </c>
      <c r="S35" s="3"/>
      <c r="T35" s="7">
        <v>5026.7832730769196</v>
      </c>
      <c r="U35" s="3"/>
      <c r="V35" s="8">
        <f t="shared" si="5"/>
        <v>1.6571831198969184E-2</v>
      </c>
      <c r="W35" s="3"/>
      <c r="X35" s="7">
        <f t="shared" si="6"/>
        <v>-4182.2432730769196</v>
      </c>
      <c r="Y35" s="3"/>
      <c r="Z35" s="8">
        <f t="shared" si="7"/>
        <v>-0.83199196103733097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99.05</v>
      </c>
      <c r="E36" s="3"/>
      <c r="F36" s="8">
        <f t="shared" si="0"/>
        <v>2.1701212967444239E-3</v>
      </c>
      <c r="G36" s="3"/>
      <c r="H36" s="7"/>
      <c r="I36" s="3"/>
      <c r="J36" s="8">
        <f t="shared" si="1"/>
        <v>0</v>
      </c>
      <c r="K36" s="3"/>
      <c r="L36" s="7">
        <f t="shared" si="2"/>
        <v>99.05</v>
      </c>
      <c r="M36" s="3"/>
      <c r="N36" s="8">
        <f t="shared" si="3"/>
        <v>0</v>
      </c>
      <c r="O36" s="12"/>
      <c r="P36" s="7">
        <v>1500.6</v>
      </c>
      <c r="Q36" s="3"/>
      <c r="R36" s="8">
        <f t="shared" si="4"/>
        <v>4.4605365134269539E-3</v>
      </c>
      <c r="S36" s="3"/>
      <c r="T36" s="7"/>
      <c r="U36" s="3"/>
      <c r="V36" s="8">
        <f t="shared" si="5"/>
        <v>0</v>
      </c>
      <c r="W36" s="3"/>
      <c r="X36" s="7">
        <f t="shared" si="6"/>
        <v>1500.6</v>
      </c>
      <c r="Y36" s="3"/>
      <c r="Z36" s="8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10577.109999999999</v>
      </c>
      <c r="E37" s="2"/>
      <c r="F37" s="6">
        <f t="shared" si="0"/>
        <v>0.23173762411921667</v>
      </c>
      <c r="G37" s="2"/>
      <c r="H37" s="2">
        <f>SUM(OSRRefH22_1x_0)</f>
        <v>12012.544615384621</v>
      </c>
      <c r="I37" s="2"/>
      <c r="J37" s="6">
        <f t="shared" si="1"/>
        <v>0.19804706315035234</v>
      </c>
      <c r="K37" s="2"/>
      <c r="L37" s="2">
        <f t="shared" si="2"/>
        <v>-1435.4346153846218</v>
      </c>
      <c r="M37" s="2"/>
      <c r="N37" s="6">
        <f t="shared" si="3"/>
        <v>-0.11949463343064234</v>
      </c>
      <c r="O37" s="14"/>
      <c r="P37" s="2">
        <f>SUM(OSRRefP22_1x_0)</f>
        <v>73170.950000000012</v>
      </c>
      <c r="Q37" s="2"/>
      <c r="R37" s="6">
        <f t="shared" si="4"/>
        <v>0.21750079581310014</v>
      </c>
      <c r="S37" s="2"/>
      <c r="T37" s="2">
        <f>SUM(OSRRefT22_1x_0)</f>
        <v>105398.73561538459</v>
      </c>
      <c r="U37" s="2"/>
      <c r="V37" s="6">
        <f t="shared" si="5"/>
        <v>0.34746874100537889</v>
      </c>
      <c r="W37" s="2"/>
      <c r="X37" s="2">
        <f t="shared" si="6"/>
        <v>-32227.785615384579</v>
      </c>
      <c r="Y37" s="2"/>
      <c r="Z37" s="6">
        <f t="shared" si="7"/>
        <v>-0.30577013497570299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2236.21</v>
      </c>
      <c r="E39" s="3"/>
      <c r="F39" s="8">
        <f t="shared" si="0"/>
        <v>4.8993911610225628E-2</v>
      </c>
      <c r="G39" s="3"/>
      <c r="H39" s="7">
        <v>2696.3221153846198</v>
      </c>
      <c r="I39" s="3"/>
      <c r="J39" s="8">
        <f t="shared" si="1"/>
        <v>4.4453418768190915E-2</v>
      </c>
      <c r="K39" s="3"/>
      <c r="L39" s="7">
        <f t="shared" si="2"/>
        <v>-460.11211538461976</v>
      </c>
      <c r="M39" s="3"/>
      <c r="N39" s="8">
        <f t="shared" si="3"/>
        <v>-0.1706443428102753</v>
      </c>
      <c r="O39" s="12"/>
      <c r="P39" s="7">
        <v>13152.65</v>
      </c>
      <c r="Q39" s="3"/>
      <c r="R39" s="8">
        <f t="shared" si="4"/>
        <v>3.9096278537468367E-2</v>
      </c>
      <c r="S39" s="3"/>
      <c r="T39" s="7">
        <v>23727.634615384599</v>
      </c>
      <c r="U39" s="3"/>
      <c r="V39" s="8">
        <f t="shared" si="5"/>
        <v>7.8223057218913206E-2</v>
      </c>
      <c r="W39" s="3"/>
      <c r="X39" s="7">
        <f t="shared" si="6"/>
        <v>-10574.984615384599</v>
      </c>
      <c r="Y39" s="3"/>
      <c r="Z39" s="8">
        <f t="shared" si="7"/>
        <v>-0.44568220923833501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/>
      <c r="E41" s="3"/>
      <c r="F41" s="8">
        <f t="shared" si="0"/>
        <v>0</v>
      </c>
      <c r="G41" s="3"/>
      <c r="H41" s="7">
        <v>6342.96</v>
      </c>
      <c r="I41" s="3"/>
      <c r="J41" s="8">
        <f t="shared" si="1"/>
        <v>0.10457439617508861</v>
      </c>
      <c r="K41" s="3"/>
      <c r="L41" s="7">
        <f t="shared" si="2"/>
        <v>-6342.96</v>
      </c>
      <c r="M41" s="3"/>
      <c r="N41" s="8">
        <f t="shared" si="3"/>
        <v>-1</v>
      </c>
      <c r="O41" s="12"/>
      <c r="P41" s="7">
        <v>4272.3900000000003</v>
      </c>
      <c r="Q41" s="3"/>
      <c r="R41" s="8">
        <f t="shared" si="4"/>
        <v>1.2699687854591621E-2</v>
      </c>
      <c r="S41" s="3"/>
      <c r="T41" s="7">
        <v>55605.856</v>
      </c>
      <c r="U41" s="3"/>
      <c r="V41" s="8">
        <f t="shared" si="5"/>
        <v>0.18331621023759367</v>
      </c>
      <c r="W41" s="3"/>
      <c r="X41" s="7">
        <f t="shared" si="6"/>
        <v>-51333.466</v>
      </c>
      <c r="Y41" s="3"/>
      <c r="Z41" s="8">
        <f t="shared" si="7"/>
        <v>-0.92316654562425948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1371.01</v>
      </c>
      <c r="E42" s="3"/>
      <c r="F42" s="8">
        <f t="shared" si="0"/>
        <v>3.0037940424528752E-2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1371.01</v>
      </c>
      <c r="M42" s="3"/>
      <c r="N42" s="8">
        <f t="shared" si="3"/>
        <v>0</v>
      </c>
      <c r="O42" s="12"/>
      <c r="P42" s="7">
        <v>7890.68</v>
      </c>
      <c r="Q42" s="3"/>
      <c r="R42" s="8">
        <f t="shared" si="4"/>
        <v>2.3455062145653606E-2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7890.68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5741.99</v>
      </c>
      <c r="E44" s="3"/>
      <c r="F44" s="8">
        <f t="shared" si="0"/>
        <v>0.12580327899741053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5741.99</v>
      </c>
      <c r="M44" s="3"/>
      <c r="N44" s="8">
        <f t="shared" si="3"/>
        <v>0</v>
      </c>
      <c r="O44" s="12"/>
      <c r="P44" s="7">
        <v>45542.91</v>
      </c>
      <c r="Q44" s="3"/>
      <c r="R44" s="8">
        <f t="shared" si="4"/>
        <v>0.13537639143190563</v>
      </c>
      <c r="S44" s="3"/>
      <c r="T44" s="7">
        <v>5001.75</v>
      </c>
      <c r="U44" s="3"/>
      <c r="V44" s="8">
        <f t="shared" si="5"/>
        <v>1.6489303834399817E-2</v>
      </c>
      <c r="W44" s="3"/>
      <c r="X44" s="7">
        <f t="shared" si="6"/>
        <v>40541.160000000003</v>
      </c>
      <c r="Y44" s="3"/>
      <c r="Z44" s="8">
        <f t="shared" si="7"/>
        <v>8.1053951117109015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1227.9000000000001</v>
      </c>
      <c r="E45" s="3"/>
      <c r="F45" s="8">
        <f t="shared" si="0"/>
        <v>2.6902493087051775E-2</v>
      </c>
      <c r="G45" s="3"/>
      <c r="H45" s="7">
        <v>2973.2624999999998</v>
      </c>
      <c r="I45" s="3"/>
      <c r="J45" s="8">
        <f t="shared" si="1"/>
        <v>4.9019248207072784E-2</v>
      </c>
      <c r="K45" s="3"/>
      <c r="L45" s="7">
        <f t="shared" si="2"/>
        <v>-1745.3624999999997</v>
      </c>
      <c r="M45" s="3"/>
      <c r="N45" s="8">
        <f t="shared" si="3"/>
        <v>-0.58701930959678128</v>
      </c>
      <c r="O45" s="12"/>
      <c r="P45" s="7">
        <v>2312.3200000000002</v>
      </c>
      <c r="Q45" s="3"/>
      <c r="R45" s="8">
        <f t="shared" si="4"/>
        <v>6.8733758434808851E-3</v>
      </c>
      <c r="S45" s="3"/>
      <c r="T45" s="7">
        <v>21063.494999999999</v>
      </c>
      <c r="U45" s="3"/>
      <c r="V45" s="8">
        <f t="shared" si="5"/>
        <v>6.9440169714472214E-2</v>
      </c>
      <c r="W45" s="3"/>
      <c r="X45" s="7">
        <f t="shared" si="6"/>
        <v>-18751.174999999999</v>
      </c>
      <c r="Y45" s="3"/>
      <c r="Z45" s="8">
        <f t="shared" si="7"/>
        <v>-0.89022144710552542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347.92</v>
      </c>
      <c r="E48" s="2"/>
      <c r="F48" s="6">
        <f t="shared" si="0"/>
        <v>7.6227016816084806E-3</v>
      </c>
      <c r="G48" s="2"/>
      <c r="H48" s="2">
        <f>SUM(OSRRefH22_2x_0)</f>
        <v>50</v>
      </c>
      <c r="I48" s="2"/>
      <c r="J48" s="6">
        <f t="shared" si="1"/>
        <v>8.2433435001236504E-4</v>
      </c>
      <c r="K48" s="2"/>
      <c r="L48" s="2">
        <f t="shared" si="2"/>
        <v>297.92</v>
      </c>
      <c r="M48" s="2"/>
      <c r="N48" s="6">
        <f t="shared" si="3"/>
        <v>5.9584000000000001</v>
      </c>
      <c r="O48" s="14"/>
      <c r="P48" s="2">
        <f>SUM(OSRRefP22_2x_0)</f>
        <v>2062.27</v>
      </c>
      <c r="Q48" s="2"/>
      <c r="R48" s="6">
        <f t="shared" si="4"/>
        <v>6.1301017163434661E-3</v>
      </c>
      <c r="S48" s="2"/>
      <c r="T48" s="2">
        <f>SUM(OSRRefT22_2x_0)</f>
        <v>500</v>
      </c>
      <c r="U48" s="2"/>
      <c r="V48" s="6">
        <f t="shared" si="5"/>
        <v>1.6483534597290766E-3</v>
      </c>
      <c r="W48" s="2"/>
      <c r="X48" s="2">
        <f t="shared" si="6"/>
        <v>1562.27</v>
      </c>
      <c r="Y48" s="2"/>
      <c r="Z48" s="6">
        <f t="shared" si="7"/>
        <v>3.1245400000000001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347.92</v>
      </c>
      <c r="E49" s="3"/>
      <c r="F49" s="8">
        <f t="shared" si="0"/>
        <v>7.6227016816084806E-3</v>
      </c>
      <c r="G49" s="3"/>
      <c r="H49" s="7">
        <v>50</v>
      </c>
      <c r="I49" s="3"/>
      <c r="J49" s="8">
        <f t="shared" si="1"/>
        <v>8.2433435001236504E-4</v>
      </c>
      <c r="K49" s="3"/>
      <c r="L49" s="7">
        <f t="shared" si="2"/>
        <v>297.92</v>
      </c>
      <c r="M49" s="3"/>
      <c r="N49" s="8">
        <f t="shared" si="3"/>
        <v>5.9584000000000001</v>
      </c>
      <c r="O49" s="12"/>
      <c r="P49" s="7">
        <v>2062.27</v>
      </c>
      <c r="Q49" s="3"/>
      <c r="R49" s="8">
        <f t="shared" si="4"/>
        <v>6.1301017163434661E-3</v>
      </c>
      <c r="S49" s="3"/>
      <c r="T49" s="7">
        <v>500</v>
      </c>
      <c r="U49" s="3"/>
      <c r="V49" s="8">
        <f t="shared" si="5"/>
        <v>1.6483534597290766E-3</v>
      </c>
      <c r="W49" s="3"/>
      <c r="X49" s="7">
        <f t="shared" si="6"/>
        <v>1562.27</v>
      </c>
      <c r="Y49" s="3"/>
      <c r="Z49" s="8">
        <f t="shared" si="7"/>
        <v>3.1245400000000001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-0.43</v>
      </c>
      <c r="E50" s="2"/>
      <c r="F50" s="6">
        <f t="shared" si="0"/>
        <v>-9.4210212781433845E-6</v>
      </c>
      <c r="G50" s="2"/>
      <c r="H50" s="2">
        <f>SUM(OSRRefH22_3x_0)</f>
        <v>10</v>
      </c>
      <c r="I50" s="2"/>
      <c r="J50" s="6">
        <f t="shared" si="1"/>
        <v>1.6486687000247301E-4</v>
      </c>
      <c r="K50" s="2"/>
      <c r="L50" s="2">
        <f t="shared" si="2"/>
        <v>-10.43</v>
      </c>
      <c r="M50" s="2"/>
      <c r="N50" s="6">
        <f t="shared" si="3"/>
        <v>-1.0429999999999999</v>
      </c>
      <c r="O50" s="14"/>
      <c r="P50" s="2">
        <f>SUM(OSRRefP22_3x_0)</f>
        <v>-48.91</v>
      </c>
      <c r="Q50" s="2"/>
      <c r="R50" s="6">
        <f t="shared" si="4"/>
        <v>-1.4538507321852081E-4</v>
      </c>
      <c r="S50" s="2"/>
      <c r="T50" s="2">
        <f>SUM(OSRRefT22_3x_0)</f>
        <v>100</v>
      </c>
      <c r="U50" s="2"/>
      <c r="V50" s="6">
        <f t="shared" si="5"/>
        <v>3.2967069194581532E-4</v>
      </c>
      <c r="W50" s="2"/>
      <c r="X50" s="2">
        <f t="shared" si="6"/>
        <v>-148.91</v>
      </c>
      <c r="Y50" s="2"/>
      <c r="Z50" s="6">
        <f t="shared" si="7"/>
        <v>-1.4890999999999999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>
        <v>-0.43</v>
      </c>
      <c r="E51" s="3"/>
      <c r="F51" s="8">
        <f t="shared" si="0"/>
        <v>-9.4210212781433845E-6</v>
      </c>
      <c r="G51" s="3"/>
      <c r="H51" s="7">
        <v>10</v>
      </c>
      <c r="I51" s="3"/>
      <c r="J51" s="8">
        <f t="shared" si="1"/>
        <v>1.6486687000247301E-4</v>
      </c>
      <c r="K51" s="3"/>
      <c r="L51" s="7">
        <f t="shared" si="2"/>
        <v>-10.43</v>
      </c>
      <c r="M51" s="3"/>
      <c r="N51" s="8">
        <f t="shared" si="3"/>
        <v>-1.0429999999999999</v>
      </c>
      <c r="O51" s="12"/>
      <c r="P51" s="7">
        <v>-48.91</v>
      </c>
      <c r="Q51" s="3"/>
      <c r="R51" s="8">
        <f t="shared" si="4"/>
        <v>-1.4538507321852081E-4</v>
      </c>
      <c r="S51" s="3"/>
      <c r="T51" s="7">
        <v>100</v>
      </c>
      <c r="U51" s="3"/>
      <c r="V51" s="8">
        <f t="shared" si="5"/>
        <v>3.2967069194581532E-4</v>
      </c>
      <c r="W51" s="3"/>
      <c r="X51" s="7">
        <f t="shared" si="6"/>
        <v>-148.91</v>
      </c>
      <c r="Y51" s="3"/>
      <c r="Z51" s="8">
        <f t="shared" si="7"/>
        <v>-1.4890999999999999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570.77</v>
      </c>
      <c r="E52" s="2"/>
      <c r="F52" s="6">
        <f t="shared" si="0"/>
        <v>1.2505200732385814E-2</v>
      </c>
      <c r="G52" s="2"/>
      <c r="H52" s="2">
        <f>SUM(OSRRefH22_4x_0)</f>
        <v>1188</v>
      </c>
      <c r="I52" s="2"/>
      <c r="J52" s="6">
        <f t="shared" si="1"/>
        <v>1.9586184156293793E-2</v>
      </c>
      <c r="K52" s="2"/>
      <c r="L52" s="2">
        <f t="shared" si="2"/>
        <v>-617.23</v>
      </c>
      <c r="M52" s="2"/>
      <c r="N52" s="6">
        <f t="shared" si="3"/>
        <v>-0.51955387205387205</v>
      </c>
      <c r="O52" s="14"/>
      <c r="P52" s="2">
        <f>SUM(OSRRefP22_4x_0)</f>
        <v>5345.72</v>
      </c>
      <c r="Q52" s="2"/>
      <c r="R52" s="6">
        <f t="shared" si="4"/>
        <v>1.5890163434997162E-2</v>
      </c>
      <c r="S52" s="2"/>
      <c r="T52" s="2">
        <f>SUM(OSRRefT22_4x_0)</f>
        <v>5816</v>
      </c>
      <c r="U52" s="2"/>
      <c r="V52" s="6">
        <f t="shared" si="5"/>
        <v>1.9173647443568618E-2</v>
      </c>
      <c r="W52" s="2"/>
      <c r="X52" s="2">
        <f t="shared" si="6"/>
        <v>-470.27999999999975</v>
      </c>
      <c r="Y52" s="2"/>
      <c r="Z52" s="6">
        <f t="shared" si="7"/>
        <v>-8.0859697386519908E-2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570.77</v>
      </c>
      <c r="E53" s="3"/>
      <c r="F53" s="8">
        <f t="shared" si="0"/>
        <v>1.2505200732385814E-2</v>
      </c>
      <c r="G53" s="3"/>
      <c r="H53" s="7">
        <v>1188</v>
      </c>
      <c r="I53" s="3"/>
      <c r="J53" s="8">
        <f t="shared" si="1"/>
        <v>1.9586184156293793E-2</v>
      </c>
      <c r="K53" s="3"/>
      <c r="L53" s="7">
        <f t="shared" si="2"/>
        <v>-617.23</v>
      </c>
      <c r="M53" s="3"/>
      <c r="N53" s="8">
        <f t="shared" si="3"/>
        <v>-0.51955387205387205</v>
      </c>
      <c r="O53" s="12"/>
      <c r="P53" s="7">
        <v>5345.72</v>
      </c>
      <c r="Q53" s="3"/>
      <c r="R53" s="8">
        <f t="shared" si="4"/>
        <v>1.5890163434997162E-2</v>
      </c>
      <c r="S53" s="3"/>
      <c r="T53" s="7">
        <v>5816</v>
      </c>
      <c r="U53" s="3"/>
      <c r="V53" s="8">
        <f t="shared" si="5"/>
        <v>1.9173647443568618E-2</v>
      </c>
      <c r="W53" s="3"/>
      <c r="X53" s="7">
        <f t="shared" si="6"/>
        <v>-470.27999999999975</v>
      </c>
      <c r="Y53" s="3"/>
      <c r="Z53" s="8">
        <f t="shared" si="7"/>
        <v>-8.0859697386519908E-2</v>
      </c>
    </row>
    <row r="54" spans="1:26" s="69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SUM(OSRRefD22_5x_0)</f>
        <v>0</v>
      </c>
      <c r="E54" s="2"/>
      <c r="F54" s="6">
        <f t="shared" si="0"/>
        <v>0</v>
      </c>
      <c r="G54" s="2"/>
      <c r="H54" s="2">
        <f>SUM(OSRRefH22_5x_0)</f>
        <v>25</v>
      </c>
      <c r="I54" s="2"/>
      <c r="J54" s="6">
        <f t="shared" si="1"/>
        <v>4.1216717500618252E-4</v>
      </c>
      <c r="K54" s="2"/>
      <c r="L54" s="2">
        <f t="shared" si="2"/>
        <v>-25</v>
      </c>
      <c r="M54" s="2"/>
      <c r="N54" s="6">
        <f t="shared" si="3"/>
        <v>-1</v>
      </c>
      <c r="O54" s="14"/>
      <c r="P54" s="2">
        <f>SUM(OSRRefP22_5x_0)</f>
        <v>0</v>
      </c>
      <c r="Q54" s="2"/>
      <c r="R54" s="6">
        <f t="shared" si="4"/>
        <v>0</v>
      </c>
      <c r="S54" s="2"/>
      <c r="T54" s="2">
        <f>SUM(OSRRefT22_5x_0)</f>
        <v>250</v>
      </c>
      <c r="U54" s="2"/>
      <c r="V54" s="6">
        <f t="shared" si="5"/>
        <v>8.241767298645383E-4</v>
      </c>
      <c r="W54" s="2"/>
      <c r="X54" s="2">
        <f t="shared" si="6"/>
        <v>-250</v>
      </c>
      <c r="Y54" s="2"/>
      <c r="Z54" s="6">
        <f t="shared" si="7"/>
        <v>-1</v>
      </c>
    </row>
    <row r="55" spans="1:26" s="70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7"/>
      <c r="E55" s="3"/>
      <c r="F55" s="8">
        <f t="shared" si="0"/>
        <v>0</v>
      </c>
      <c r="G55" s="3"/>
      <c r="H55" s="7">
        <v>25</v>
      </c>
      <c r="I55" s="3"/>
      <c r="J55" s="8">
        <f t="shared" si="1"/>
        <v>4.1216717500618252E-4</v>
      </c>
      <c r="K55" s="3"/>
      <c r="L55" s="7">
        <f t="shared" si="2"/>
        <v>-25</v>
      </c>
      <c r="M55" s="3"/>
      <c r="N55" s="8">
        <f t="shared" si="3"/>
        <v>-1</v>
      </c>
      <c r="O55" s="12"/>
      <c r="P55" s="7"/>
      <c r="Q55" s="3"/>
      <c r="R55" s="8">
        <f t="shared" si="4"/>
        <v>0</v>
      </c>
      <c r="S55" s="3"/>
      <c r="T55" s="7">
        <v>250</v>
      </c>
      <c r="U55" s="3"/>
      <c r="V55" s="8">
        <f t="shared" si="5"/>
        <v>8.241767298645383E-4</v>
      </c>
      <c r="W55" s="3"/>
      <c r="X55" s="7">
        <f t="shared" si="6"/>
        <v>-250</v>
      </c>
      <c r="Y55" s="3"/>
      <c r="Z55" s="8">
        <f t="shared" si="7"/>
        <v>-1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SUM(OSRRefP22_6x_0)</f>
        <v>1414.19</v>
      </c>
      <c r="Q56" s="2"/>
      <c r="R56" s="6">
        <f t="shared" si="4"/>
        <v>4.2036826149028823E-3</v>
      </c>
      <c r="S56" s="2"/>
      <c r="T56" s="2">
        <f>SUM(OSRRefT22_6x_0)</f>
        <v>1250</v>
      </c>
      <c r="U56" s="2"/>
      <c r="V56" s="6">
        <f t="shared" si="5"/>
        <v>4.1208836493226916E-3</v>
      </c>
      <c r="W56" s="2"/>
      <c r="X56" s="2">
        <f t="shared" si="6"/>
        <v>164.19000000000005</v>
      </c>
      <c r="Y56" s="2"/>
      <c r="Z56" s="6">
        <f t="shared" si="7"/>
        <v>0.13135200000000005</v>
      </c>
    </row>
    <row r="57" spans="1:26" s="70" customFormat="1" ht="15" hidden="1" customHeight="1" outlineLevel="2" x14ac:dyDescent="0.3">
      <c r="A57" s="26"/>
      <c r="B57" s="12" t="str">
        <f>CONCATENATE("          ","6276"," - ","PROPERTY TAX")</f>
        <v xml:space="preserve">          6276 - PROPERTY TAX</v>
      </c>
      <c r="C57" s="12"/>
      <c r="D57" s="7"/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0</v>
      </c>
      <c r="M57" s="3"/>
      <c r="N57" s="8">
        <f t="shared" si="3"/>
        <v>0</v>
      </c>
      <c r="O57" s="12"/>
      <c r="P57" s="7"/>
      <c r="Q57" s="3"/>
      <c r="R57" s="8">
        <f t="shared" si="4"/>
        <v>0</v>
      </c>
      <c r="S57" s="3"/>
      <c r="T57" s="7">
        <v>1250</v>
      </c>
      <c r="U57" s="3"/>
      <c r="V57" s="8">
        <f t="shared" si="5"/>
        <v>4.1208836493226916E-3</v>
      </c>
      <c r="W57" s="3"/>
      <c r="X57" s="7">
        <f t="shared" si="6"/>
        <v>-1250</v>
      </c>
      <c r="Y57" s="3"/>
      <c r="Z57" s="8">
        <f t="shared" si="7"/>
        <v>-1</v>
      </c>
    </row>
    <row r="58" spans="1:26" s="70" customFormat="1" ht="15" hidden="1" customHeight="1" outlineLevel="2" x14ac:dyDescent="0.3">
      <c r="A58" s="26"/>
      <c r="B58" s="12" t="str">
        <f>CONCATENATE("          ","6279"," - ","GENERAL EXPENSE")</f>
        <v xml:space="preserve">          6279 - GENERAL EXPENSE</v>
      </c>
      <c r="C58" s="12"/>
      <c r="D58" s="7"/>
      <c r="E58" s="3"/>
      <c r="F58" s="8">
        <f t="shared" ref="F58:F86" si="8">IF(D$12=0,0,D58/D$12)</f>
        <v>0</v>
      </c>
      <c r="G58" s="3"/>
      <c r="H58" s="7"/>
      <c r="I58" s="3"/>
      <c r="J58" s="8">
        <f t="shared" ref="J58:J86" si="9">IF(H$12=0,0,H58/H$12)</f>
        <v>0</v>
      </c>
      <c r="K58" s="3"/>
      <c r="L58" s="7">
        <f t="shared" ref="L58:L86" si="10">+D58-H58</f>
        <v>0</v>
      </c>
      <c r="M58" s="3"/>
      <c r="N58" s="8">
        <f t="shared" ref="N58:N86" si="11">IF(H58=0,0,L58/H58)</f>
        <v>0</v>
      </c>
      <c r="O58" s="12"/>
      <c r="P58" s="7">
        <v>1414.19</v>
      </c>
      <c r="Q58" s="3"/>
      <c r="R58" s="8">
        <f t="shared" ref="R58:R86" si="12">IF(P$12=0,0,P58/P$12)</f>
        <v>4.2036826149028823E-3</v>
      </c>
      <c r="S58" s="3"/>
      <c r="T58" s="7"/>
      <c r="U58" s="3"/>
      <c r="V58" s="8">
        <f t="shared" ref="V58:V86" si="13">IF(T$12=0,0,T58/T$12)</f>
        <v>0</v>
      </c>
      <c r="W58" s="3"/>
      <c r="X58" s="7">
        <f t="shared" ref="X58:X86" si="14">+P58-T58</f>
        <v>1414.19</v>
      </c>
      <c r="Y58" s="3"/>
      <c r="Z58" s="8">
        <f t="shared" ref="Z58:Z86" si="15">IF(T58=0,0,X58/T58)</f>
        <v>0</v>
      </c>
    </row>
    <row r="59" spans="1:26" s="69" customFormat="1" ht="15" customHeight="1" outlineLevel="1" collapsed="1" x14ac:dyDescent="0.3">
      <c r="A59" s="25"/>
      <c r="B59" s="14" t="str">
        <f>CONCATENATE("     ","Insurance                                         ")</f>
        <v xml:space="preserve">     Insurance                                         </v>
      </c>
      <c r="C59" s="14"/>
      <c r="D59" s="2">
        <f>SUM(OSRRefD22_7x_0)</f>
        <v>219.08</v>
      </c>
      <c r="E59" s="2"/>
      <c r="F59" s="6">
        <f t="shared" si="8"/>
        <v>4.7999007944550072E-3</v>
      </c>
      <c r="G59" s="2"/>
      <c r="H59" s="2">
        <f>SUM(OSRRefH22_7x_0)</f>
        <v>175</v>
      </c>
      <c r="I59" s="2"/>
      <c r="J59" s="6">
        <f t="shared" si="9"/>
        <v>2.8851702250432777E-3</v>
      </c>
      <c r="K59" s="2"/>
      <c r="L59" s="2">
        <f t="shared" si="10"/>
        <v>44.080000000000013</v>
      </c>
      <c r="M59" s="2"/>
      <c r="N59" s="6">
        <f t="shared" si="11"/>
        <v>0.25188571428571438</v>
      </c>
      <c r="O59" s="14"/>
      <c r="P59" s="2">
        <f>SUM(OSRRefP22_7x_0)</f>
        <v>2190.8000000000002</v>
      </c>
      <c r="Q59" s="2"/>
      <c r="R59" s="6">
        <f t="shared" si="12"/>
        <v>6.5121573994507348E-3</v>
      </c>
      <c r="S59" s="2"/>
      <c r="T59" s="2">
        <f>SUM(OSRRefT22_7x_0)</f>
        <v>1750</v>
      </c>
      <c r="U59" s="2"/>
      <c r="V59" s="6">
        <f t="shared" si="13"/>
        <v>5.7692371090517685E-3</v>
      </c>
      <c r="W59" s="2"/>
      <c r="X59" s="2">
        <f t="shared" si="14"/>
        <v>440.80000000000018</v>
      </c>
      <c r="Y59" s="2"/>
      <c r="Z59" s="6">
        <f t="shared" si="15"/>
        <v>0.25188571428571438</v>
      </c>
    </row>
    <row r="60" spans="1:26" s="70" customFormat="1" ht="15" hidden="1" customHeight="1" outlineLevel="2" x14ac:dyDescent="0.3">
      <c r="A60" s="26"/>
      <c r="B60" s="12" t="str">
        <f>CONCATENATE("          ","6314"," - ","LIABILITY INSURANCE")</f>
        <v xml:space="preserve">          6314 - LIABILITY INSURANCE</v>
      </c>
      <c r="C60" s="12"/>
      <c r="D60" s="7">
        <v>219.08</v>
      </c>
      <c r="E60" s="3"/>
      <c r="F60" s="8">
        <f t="shared" si="8"/>
        <v>4.7999007944550072E-3</v>
      </c>
      <c r="G60" s="3"/>
      <c r="H60" s="7">
        <v>175</v>
      </c>
      <c r="I60" s="3"/>
      <c r="J60" s="8">
        <f t="shared" si="9"/>
        <v>2.8851702250432777E-3</v>
      </c>
      <c r="K60" s="3"/>
      <c r="L60" s="7">
        <f t="shared" si="10"/>
        <v>44.080000000000013</v>
      </c>
      <c r="M60" s="3"/>
      <c r="N60" s="8">
        <f t="shared" si="11"/>
        <v>0.25188571428571438</v>
      </c>
      <c r="O60" s="12"/>
      <c r="P60" s="7">
        <v>2190.8000000000002</v>
      </c>
      <c r="Q60" s="3"/>
      <c r="R60" s="8">
        <f t="shared" si="12"/>
        <v>6.5121573994507348E-3</v>
      </c>
      <c r="S60" s="3"/>
      <c r="T60" s="7">
        <v>1750</v>
      </c>
      <c r="U60" s="3"/>
      <c r="V60" s="8">
        <f t="shared" si="13"/>
        <v>5.7692371090517685E-3</v>
      </c>
      <c r="W60" s="3"/>
      <c r="X60" s="7">
        <f t="shared" si="14"/>
        <v>440.80000000000018</v>
      </c>
      <c r="Y60" s="3"/>
      <c r="Z60" s="8">
        <f t="shared" si="15"/>
        <v>0.25188571428571438</v>
      </c>
    </row>
    <row r="61" spans="1:26" s="69" customFormat="1" ht="15" customHeight="1" outlineLevel="1" collapsed="1" x14ac:dyDescent="0.3">
      <c r="A61" s="25"/>
      <c r="B61" s="14" t="str">
        <f>CONCATENATE("     ","Inventory Adjustment                              ")</f>
        <v xml:space="preserve">     Inventory Adjustment                              </v>
      </c>
      <c r="C61" s="14"/>
      <c r="D61" s="2">
        <f>SUM(OSRRefD22_8x_0)</f>
        <v>100</v>
      </c>
      <c r="E61" s="2"/>
      <c r="F61" s="6">
        <f t="shared" si="8"/>
        <v>2.1909351809635781E-3</v>
      </c>
      <c r="G61" s="2"/>
      <c r="H61" s="2">
        <f>SUM(OSRRefH22_8x_0)</f>
        <v>100</v>
      </c>
      <c r="I61" s="2"/>
      <c r="J61" s="6">
        <f t="shared" si="9"/>
        <v>1.6486687000247301E-3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SUM(OSRRefP22_8x_0)</f>
        <v>1000</v>
      </c>
      <c r="Q61" s="2"/>
      <c r="R61" s="6">
        <f t="shared" si="12"/>
        <v>2.9725020081480436E-3</v>
      </c>
      <c r="S61" s="2"/>
      <c r="T61" s="2">
        <f>SUM(OSRRefT22_8x_0)</f>
        <v>1000</v>
      </c>
      <c r="U61" s="2"/>
      <c r="V61" s="6">
        <f t="shared" si="13"/>
        <v>3.2967069194581532E-3</v>
      </c>
      <c r="W61" s="2"/>
      <c r="X61" s="2">
        <f t="shared" si="14"/>
        <v>0</v>
      </c>
      <c r="Y61" s="2"/>
      <c r="Z61" s="6">
        <f t="shared" si="15"/>
        <v>0</v>
      </c>
    </row>
    <row r="62" spans="1:26" s="70" customFormat="1" ht="15" hidden="1" customHeight="1" outlineLevel="2" x14ac:dyDescent="0.3">
      <c r="A62" s="26"/>
      <c r="B62" s="12" t="str">
        <f>CONCATENATE("          ","6408"," - ","INVENTORY ADJUSTMENT")</f>
        <v xml:space="preserve">          6408 - INVENTORY ADJUSTMENT</v>
      </c>
      <c r="C62" s="12"/>
      <c r="D62" s="7">
        <v>100</v>
      </c>
      <c r="E62" s="3"/>
      <c r="F62" s="8">
        <f t="shared" si="8"/>
        <v>2.1909351809635781E-3</v>
      </c>
      <c r="G62" s="3"/>
      <c r="H62" s="7">
        <v>100</v>
      </c>
      <c r="I62" s="3"/>
      <c r="J62" s="8">
        <f t="shared" si="9"/>
        <v>1.6486687000247301E-3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1000</v>
      </c>
      <c r="Q62" s="3"/>
      <c r="R62" s="8">
        <f t="shared" si="12"/>
        <v>2.9725020081480436E-3</v>
      </c>
      <c r="S62" s="3"/>
      <c r="T62" s="7">
        <v>1000</v>
      </c>
      <c r="U62" s="3"/>
      <c r="V62" s="8">
        <f t="shared" si="13"/>
        <v>3.2967069194581532E-3</v>
      </c>
      <c r="W62" s="3"/>
      <c r="X62" s="7">
        <f t="shared" si="14"/>
        <v>0</v>
      </c>
      <c r="Y62" s="3"/>
      <c r="Z62" s="8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SUM(OSRRefD22_9x_0)</f>
        <v>0</v>
      </c>
      <c r="E63" s="2"/>
      <c r="F63" s="6">
        <f t="shared" si="8"/>
        <v>0</v>
      </c>
      <c r="G63" s="2"/>
      <c r="H63" s="2">
        <f>SUM(OSRRefH22_9x_0)</f>
        <v>0</v>
      </c>
      <c r="I63" s="2"/>
      <c r="J63" s="6">
        <f t="shared" si="9"/>
        <v>0</v>
      </c>
      <c r="K63" s="2"/>
      <c r="L63" s="2">
        <f t="shared" si="10"/>
        <v>0</v>
      </c>
      <c r="M63" s="2"/>
      <c r="N63" s="6">
        <f t="shared" si="11"/>
        <v>0</v>
      </c>
      <c r="O63" s="14"/>
      <c r="P63" s="2">
        <f>SUM(OSRRefP22_9x_0)</f>
        <v>161.46</v>
      </c>
      <c r="Q63" s="2"/>
      <c r="R63" s="6">
        <f t="shared" si="12"/>
        <v>4.7994017423558314E-4</v>
      </c>
      <c r="S63" s="2"/>
      <c r="T63" s="2">
        <f>SUM(OSRRefT22_9x_0)</f>
        <v>750</v>
      </c>
      <c r="U63" s="2"/>
      <c r="V63" s="6">
        <f t="shared" si="13"/>
        <v>2.4725301895936148E-3</v>
      </c>
      <c r="W63" s="2"/>
      <c r="X63" s="2">
        <f t="shared" si="14"/>
        <v>-588.54</v>
      </c>
      <c r="Y63" s="2"/>
      <c r="Z63" s="6">
        <f t="shared" si="15"/>
        <v>-0.78471999999999997</v>
      </c>
    </row>
    <row r="64" spans="1:26" s="70" customFormat="1" ht="15" hidden="1" customHeight="1" outlineLevel="2" x14ac:dyDescent="0.3">
      <c r="A64" s="26"/>
      <c r="B64" s="12" t="str">
        <f>CONCATENATE("          ","6336"," - ","PROFESSIONAL SERVICES")</f>
        <v xml:space="preserve">          6336 - PROFESSIONAL SERVICES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161.46</v>
      </c>
      <c r="Q64" s="3"/>
      <c r="R64" s="8">
        <f t="shared" si="12"/>
        <v>4.7994017423558314E-4</v>
      </c>
      <c r="S64" s="3"/>
      <c r="T64" s="7">
        <v>750</v>
      </c>
      <c r="U64" s="3"/>
      <c r="V64" s="8">
        <f t="shared" si="13"/>
        <v>2.4725301895936148E-3</v>
      </c>
      <c r="W64" s="3"/>
      <c r="X64" s="7">
        <f t="shared" si="14"/>
        <v>-588.54</v>
      </c>
      <c r="Y64" s="3"/>
      <c r="Z64" s="8">
        <f t="shared" si="15"/>
        <v>-0.78471999999999997</v>
      </c>
    </row>
    <row r="65" spans="1:26" s="69" customFormat="1" ht="15" customHeight="1" outlineLevel="1" collapsed="1" x14ac:dyDescent="0.3">
      <c r="A65" s="25"/>
      <c r="B65" s="14" t="str">
        <f>CONCATENATE("     ","Rent                                              ")</f>
        <v xml:space="preserve">     Rent                                              </v>
      </c>
      <c r="C65" s="14"/>
      <c r="D65" s="2">
        <f>SUM(OSRRefD22_10x_0)</f>
        <v>6900</v>
      </c>
      <c r="E65" s="2"/>
      <c r="F65" s="6">
        <f t="shared" si="8"/>
        <v>0.15117452748648688</v>
      </c>
      <c r="G65" s="2"/>
      <c r="H65" s="2">
        <f>SUM(OSRRefH22_10x_0)</f>
        <v>6900</v>
      </c>
      <c r="I65" s="2"/>
      <c r="J65" s="6">
        <f t="shared" si="9"/>
        <v>0.11375814030170638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SUM(OSRRefP22_10x_0)</f>
        <v>69000</v>
      </c>
      <c r="Q65" s="2"/>
      <c r="R65" s="6">
        <f t="shared" si="12"/>
        <v>0.20510263856221503</v>
      </c>
      <c r="S65" s="2"/>
      <c r="T65" s="2">
        <f>SUM(OSRRefT22_10x_0)</f>
        <v>69000</v>
      </c>
      <c r="U65" s="2"/>
      <c r="V65" s="6">
        <f t="shared" si="13"/>
        <v>0.22747277744261257</v>
      </c>
      <c r="W65" s="2"/>
      <c r="X65" s="2">
        <f t="shared" si="14"/>
        <v>0</v>
      </c>
      <c r="Y65" s="2"/>
      <c r="Z65" s="6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","6273"," - ","RENT")</f>
        <v xml:space="preserve">          6273 - RENT</v>
      </c>
      <c r="C66" s="12"/>
      <c r="D66" s="7">
        <v>6900</v>
      </c>
      <c r="E66" s="3"/>
      <c r="F66" s="8">
        <f t="shared" si="8"/>
        <v>0.15117452748648688</v>
      </c>
      <c r="G66" s="3"/>
      <c r="H66" s="7">
        <v>6900</v>
      </c>
      <c r="I66" s="3"/>
      <c r="J66" s="8">
        <f t="shared" si="9"/>
        <v>0.11375814030170638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69000</v>
      </c>
      <c r="Q66" s="3"/>
      <c r="R66" s="8">
        <f t="shared" si="12"/>
        <v>0.20510263856221503</v>
      </c>
      <c r="S66" s="3"/>
      <c r="T66" s="7">
        <v>69000</v>
      </c>
      <c r="U66" s="3"/>
      <c r="V66" s="8">
        <f t="shared" si="13"/>
        <v>0.22747277744261257</v>
      </c>
      <c r="W66" s="3"/>
      <c r="X66" s="7">
        <f t="shared" si="14"/>
        <v>0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0</v>
      </c>
      <c r="E67" s="2"/>
      <c r="F67" s="6">
        <f t="shared" si="8"/>
        <v>0</v>
      </c>
      <c r="G67" s="2"/>
      <c r="H67" s="2">
        <f>SUM(OSRRefH22_11x_0)</f>
        <v>115</v>
      </c>
      <c r="I67" s="2"/>
      <c r="J67" s="6">
        <f t="shared" si="9"/>
        <v>1.8959690050284396E-3</v>
      </c>
      <c r="K67" s="2"/>
      <c r="L67" s="2">
        <f t="shared" si="10"/>
        <v>-115</v>
      </c>
      <c r="M67" s="2"/>
      <c r="N67" s="6">
        <f t="shared" si="11"/>
        <v>-1</v>
      </c>
      <c r="O67" s="14"/>
      <c r="P67" s="2">
        <f>SUM(OSRRefP22_11x_0)</f>
        <v>1519.57</v>
      </c>
      <c r="Q67" s="2"/>
      <c r="R67" s="6">
        <f t="shared" si="12"/>
        <v>4.5169248765215223E-3</v>
      </c>
      <c r="S67" s="2"/>
      <c r="T67" s="2">
        <f>SUM(OSRRefT22_11x_0)</f>
        <v>1650</v>
      </c>
      <c r="U67" s="2"/>
      <c r="V67" s="6">
        <f t="shared" si="13"/>
        <v>5.4395664171059529E-3</v>
      </c>
      <c r="W67" s="2"/>
      <c r="X67" s="2">
        <f t="shared" si="14"/>
        <v>-130.43000000000006</v>
      </c>
      <c r="Y67" s="2"/>
      <c r="Z67" s="6">
        <f t="shared" si="15"/>
        <v>-7.9048484848484882E-2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/>
      <c r="E68" s="3"/>
      <c r="F68" s="8">
        <f t="shared" si="8"/>
        <v>0</v>
      </c>
      <c r="G68" s="3"/>
      <c r="H68" s="7">
        <v>115</v>
      </c>
      <c r="I68" s="3"/>
      <c r="J68" s="8">
        <f t="shared" si="9"/>
        <v>1.8959690050284396E-3</v>
      </c>
      <c r="K68" s="3"/>
      <c r="L68" s="7">
        <f t="shared" si="10"/>
        <v>-115</v>
      </c>
      <c r="M68" s="3"/>
      <c r="N68" s="8">
        <f t="shared" si="11"/>
        <v>-1</v>
      </c>
      <c r="O68" s="12"/>
      <c r="P68" s="7">
        <v>696.76</v>
      </c>
      <c r="Q68" s="3"/>
      <c r="R68" s="8">
        <f t="shared" si="12"/>
        <v>2.0711204991972309E-3</v>
      </c>
      <c r="S68" s="3"/>
      <c r="T68" s="7">
        <v>1150</v>
      </c>
      <c r="U68" s="3"/>
      <c r="V68" s="8">
        <f t="shared" si="13"/>
        <v>3.7912129573768761E-3</v>
      </c>
      <c r="W68" s="3"/>
      <c r="X68" s="7">
        <f t="shared" si="14"/>
        <v>-453.24</v>
      </c>
      <c r="Y68" s="3"/>
      <c r="Z68" s="8">
        <f t="shared" si="15"/>
        <v>-0.3941217391304348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/>
      <c r="E69" s="3"/>
      <c r="F69" s="8">
        <f t="shared" si="8"/>
        <v>0</v>
      </c>
      <c r="G69" s="3"/>
      <c r="H69" s="7"/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822.81</v>
      </c>
      <c r="Q69" s="3"/>
      <c r="R69" s="8">
        <f t="shared" si="12"/>
        <v>2.4458043773242918E-3</v>
      </c>
      <c r="S69" s="3"/>
      <c r="T69" s="7">
        <v>500</v>
      </c>
      <c r="U69" s="3"/>
      <c r="V69" s="8">
        <f t="shared" si="13"/>
        <v>1.6483534597290766E-3</v>
      </c>
      <c r="W69" s="3"/>
      <c r="X69" s="7">
        <f t="shared" si="14"/>
        <v>322.80999999999995</v>
      </c>
      <c r="Y69" s="3"/>
      <c r="Z69" s="8">
        <f t="shared" si="15"/>
        <v>0.64561999999999986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73.75</v>
      </c>
      <c r="E70" s="2"/>
      <c r="F70" s="6">
        <f t="shared" si="8"/>
        <v>1.6158146959606389E-3</v>
      </c>
      <c r="G70" s="2"/>
      <c r="H70" s="2">
        <f>SUM(OSRRefH22_12x_0)</f>
        <v>60</v>
      </c>
      <c r="I70" s="2"/>
      <c r="J70" s="6">
        <f t="shared" si="9"/>
        <v>9.8920122001483804E-4</v>
      </c>
      <c r="K70" s="2"/>
      <c r="L70" s="2">
        <f t="shared" si="10"/>
        <v>13.75</v>
      </c>
      <c r="M70" s="2"/>
      <c r="N70" s="6">
        <f t="shared" si="11"/>
        <v>0.22916666666666666</v>
      </c>
      <c r="O70" s="14"/>
      <c r="P70" s="2">
        <f>SUM(OSRRefP22_12x_0)</f>
        <v>1652.56</v>
      </c>
      <c r="Q70" s="2"/>
      <c r="R70" s="6">
        <f t="shared" si="12"/>
        <v>4.9122379185851306E-3</v>
      </c>
      <c r="S70" s="2"/>
      <c r="T70" s="2">
        <f>SUM(OSRRefT22_12x_0)</f>
        <v>780</v>
      </c>
      <c r="U70" s="2"/>
      <c r="V70" s="6">
        <f t="shared" si="13"/>
        <v>2.5714313971773595E-3</v>
      </c>
      <c r="W70" s="2"/>
      <c r="X70" s="2">
        <f t="shared" si="14"/>
        <v>872.56</v>
      </c>
      <c r="Y70" s="2"/>
      <c r="Z70" s="6">
        <f t="shared" si="15"/>
        <v>1.1186666666666667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7"/>
      <c r="E71" s="3"/>
      <c r="F71" s="8">
        <f t="shared" si="8"/>
        <v>0</v>
      </c>
      <c r="G71" s="3"/>
      <c r="H71" s="7">
        <v>60</v>
      </c>
      <c r="I71" s="3"/>
      <c r="J71" s="8">
        <f t="shared" si="9"/>
        <v>9.8920122001483804E-4</v>
      </c>
      <c r="K71" s="3"/>
      <c r="L71" s="7">
        <f t="shared" si="10"/>
        <v>-60</v>
      </c>
      <c r="M71" s="3"/>
      <c r="N71" s="8">
        <f t="shared" si="11"/>
        <v>-1</v>
      </c>
      <c r="O71" s="12"/>
      <c r="P71" s="7">
        <v>1340.17</v>
      </c>
      <c r="Q71" s="3"/>
      <c r="R71" s="8">
        <f t="shared" si="12"/>
        <v>3.9836580162597637E-3</v>
      </c>
      <c r="S71" s="3"/>
      <c r="T71" s="7">
        <v>780</v>
      </c>
      <c r="U71" s="3"/>
      <c r="V71" s="8">
        <f t="shared" si="13"/>
        <v>2.5714313971773595E-3</v>
      </c>
      <c r="W71" s="3"/>
      <c r="X71" s="7">
        <f t="shared" si="14"/>
        <v>560.17000000000007</v>
      </c>
      <c r="Y71" s="3"/>
      <c r="Z71" s="8">
        <f t="shared" si="15"/>
        <v>0.71816666666666673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7">
        <v>73.75</v>
      </c>
      <c r="E72" s="3"/>
      <c r="F72" s="8">
        <f t="shared" si="8"/>
        <v>1.6158146959606389E-3</v>
      </c>
      <c r="G72" s="3"/>
      <c r="H72" s="7"/>
      <c r="I72" s="3"/>
      <c r="J72" s="8">
        <f t="shared" si="9"/>
        <v>0</v>
      </c>
      <c r="K72" s="3"/>
      <c r="L72" s="7">
        <f t="shared" si="10"/>
        <v>73.75</v>
      </c>
      <c r="M72" s="3"/>
      <c r="N72" s="8">
        <f t="shared" si="11"/>
        <v>0</v>
      </c>
      <c r="O72" s="12"/>
      <c r="P72" s="7">
        <v>312.39</v>
      </c>
      <c r="Q72" s="3"/>
      <c r="R72" s="8">
        <f t="shared" si="12"/>
        <v>9.2857990232536733E-4</v>
      </c>
      <c r="S72" s="3"/>
      <c r="T72" s="7"/>
      <c r="U72" s="3"/>
      <c r="V72" s="8">
        <f t="shared" si="13"/>
        <v>0</v>
      </c>
      <c r="W72" s="3"/>
      <c r="X72" s="7">
        <f t="shared" si="14"/>
        <v>312.39</v>
      </c>
      <c r="Y72" s="3"/>
      <c r="Z72" s="8">
        <f t="shared" si="15"/>
        <v>0</v>
      </c>
    </row>
    <row r="73" spans="1:26" s="69" customFormat="1" ht="15" customHeight="1" outlineLevel="1" collapsed="1" x14ac:dyDescent="0.3">
      <c r="A73" s="2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SUM(OSRRefD22_13x_0)</f>
        <v>0</v>
      </c>
      <c r="E73" s="2"/>
      <c r="F73" s="6">
        <f t="shared" si="8"/>
        <v>0</v>
      </c>
      <c r="G73" s="2"/>
      <c r="H73" s="2">
        <f>SUM(OSRRefH22_13x_0)</f>
        <v>61</v>
      </c>
      <c r="I73" s="2"/>
      <c r="J73" s="6">
        <f t="shared" si="9"/>
        <v>1.0056879070150853E-3</v>
      </c>
      <c r="K73" s="2"/>
      <c r="L73" s="2">
        <f t="shared" si="10"/>
        <v>-61</v>
      </c>
      <c r="M73" s="2"/>
      <c r="N73" s="6">
        <f t="shared" si="11"/>
        <v>-1</v>
      </c>
      <c r="O73" s="14"/>
      <c r="P73" s="2">
        <f>SUM(OSRRefP22_13x_0)</f>
        <v>0</v>
      </c>
      <c r="Q73" s="2"/>
      <c r="R73" s="6">
        <f t="shared" si="12"/>
        <v>0</v>
      </c>
      <c r="S73" s="2"/>
      <c r="T73" s="2">
        <f>SUM(OSRRefT22_13x_0)</f>
        <v>1105</v>
      </c>
      <c r="U73" s="2"/>
      <c r="V73" s="6">
        <f t="shared" si="13"/>
        <v>3.6428611460012595E-3</v>
      </c>
      <c r="W73" s="2"/>
      <c r="X73" s="2">
        <f t="shared" si="14"/>
        <v>-1105</v>
      </c>
      <c r="Y73" s="2"/>
      <c r="Z73" s="6">
        <f t="shared" si="15"/>
        <v>-1</v>
      </c>
    </row>
    <row r="74" spans="1:26" s="70" customFormat="1" ht="15" hidden="1" customHeight="1" outlineLevel="2" x14ac:dyDescent="0.3">
      <c r="A74" s="26"/>
      <c r="B74" s="12" t="str">
        <f>CONCATENATE("          ","6258"," - ","MEMBERSHIP DUES")</f>
        <v xml:space="preserve">          6258 - MEMBERSHIP DUES</v>
      </c>
      <c r="C74" s="12"/>
      <c r="D74" s="7"/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0</v>
      </c>
      <c r="M74" s="3"/>
      <c r="N74" s="8">
        <f t="shared" si="11"/>
        <v>0</v>
      </c>
      <c r="O74" s="12"/>
      <c r="P74" s="7"/>
      <c r="Q74" s="3"/>
      <c r="R74" s="8">
        <f t="shared" si="12"/>
        <v>0</v>
      </c>
      <c r="S74" s="3"/>
      <c r="T74" s="7">
        <v>395</v>
      </c>
      <c r="U74" s="3"/>
      <c r="V74" s="8">
        <f t="shared" si="13"/>
        <v>1.3021992331859705E-3</v>
      </c>
      <c r="W74" s="3"/>
      <c r="X74" s="7">
        <f t="shared" si="14"/>
        <v>-395</v>
      </c>
      <c r="Y74" s="3"/>
      <c r="Z74" s="8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","6275"," - ","SUBSCRIPTIONS")</f>
        <v xml:space="preserve">          6275 - SUBSCRIPTIONS</v>
      </c>
      <c r="C75" s="12"/>
      <c r="D75" s="7"/>
      <c r="E75" s="3"/>
      <c r="F75" s="8">
        <f t="shared" si="8"/>
        <v>0</v>
      </c>
      <c r="G75" s="3"/>
      <c r="H75" s="7">
        <v>61</v>
      </c>
      <c r="I75" s="3"/>
      <c r="J75" s="8">
        <f t="shared" si="9"/>
        <v>1.0056879070150853E-3</v>
      </c>
      <c r="K75" s="3"/>
      <c r="L75" s="7">
        <f t="shared" si="10"/>
        <v>-61</v>
      </c>
      <c r="M75" s="3"/>
      <c r="N75" s="8">
        <f t="shared" si="11"/>
        <v>-1</v>
      </c>
      <c r="O75" s="12"/>
      <c r="P75" s="7"/>
      <c r="Q75" s="3"/>
      <c r="R75" s="8">
        <f t="shared" si="12"/>
        <v>0</v>
      </c>
      <c r="S75" s="3"/>
      <c r="T75" s="7">
        <v>710</v>
      </c>
      <c r="U75" s="3"/>
      <c r="V75" s="8">
        <f t="shared" si="13"/>
        <v>2.340661912815289E-3</v>
      </c>
      <c r="W75" s="3"/>
      <c r="X75" s="7">
        <f t="shared" si="14"/>
        <v>-710</v>
      </c>
      <c r="Y75" s="3"/>
      <c r="Z75" s="8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706.82</v>
      </c>
      <c r="E76" s="2"/>
      <c r="F76" s="6">
        <f t="shared" si="8"/>
        <v>1.5485968046086764E-2</v>
      </c>
      <c r="G76" s="2"/>
      <c r="H76" s="2">
        <f>SUM(OSRRefH22_14x_0)</f>
        <v>30</v>
      </c>
      <c r="I76" s="2"/>
      <c r="J76" s="6">
        <f t="shared" si="9"/>
        <v>4.9460061000741902E-4</v>
      </c>
      <c r="K76" s="2"/>
      <c r="L76" s="2">
        <f t="shared" si="10"/>
        <v>676.82</v>
      </c>
      <c r="M76" s="2"/>
      <c r="N76" s="6">
        <f t="shared" si="11"/>
        <v>22.56066666666667</v>
      </c>
      <c r="O76" s="14"/>
      <c r="P76" s="2">
        <f>SUM(OSRRefP22_14x_0)</f>
        <v>1752.75</v>
      </c>
      <c r="Q76" s="2"/>
      <c r="R76" s="6">
        <f t="shared" si="12"/>
        <v>5.2100528947814839E-3</v>
      </c>
      <c r="S76" s="2"/>
      <c r="T76" s="2">
        <f>SUM(OSRRefT22_14x_0)</f>
        <v>380</v>
      </c>
      <c r="U76" s="2"/>
      <c r="V76" s="6">
        <f t="shared" si="13"/>
        <v>1.2527486293940982E-3</v>
      </c>
      <c r="W76" s="2"/>
      <c r="X76" s="2">
        <f t="shared" si="14"/>
        <v>1372.75</v>
      </c>
      <c r="Y76" s="2"/>
      <c r="Z76" s="6">
        <f t="shared" si="15"/>
        <v>3.6124999999999998</v>
      </c>
    </row>
    <row r="77" spans="1:26" s="70" customFormat="1" ht="15" hidden="1" customHeight="1" outlineLevel="2" x14ac:dyDescent="0.3">
      <c r="A77" s="26"/>
      <c r="B77" s="12" t="str">
        <f>CONCATENATE("          ","6237"," - ","JANITORIAL SUPPLIES")</f>
        <v xml:space="preserve">          6237 - JANITORIAL SUPPLIES</v>
      </c>
      <c r="C77" s="12"/>
      <c r="D77" s="7">
        <v>692.84</v>
      </c>
      <c r="E77" s="3"/>
      <c r="F77" s="8">
        <f t="shared" si="8"/>
        <v>1.5179675307788054E-2</v>
      </c>
      <c r="G77" s="3"/>
      <c r="H77" s="7">
        <v>10</v>
      </c>
      <c r="I77" s="3"/>
      <c r="J77" s="8">
        <f t="shared" si="9"/>
        <v>1.6486687000247301E-4</v>
      </c>
      <c r="K77" s="3"/>
      <c r="L77" s="7">
        <f t="shared" si="10"/>
        <v>682.84</v>
      </c>
      <c r="M77" s="3"/>
      <c r="N77" s="8">
        <f t="shared" si="11"/>
        <v>68.284000000000006</v>
      </c>
      <c r="O77" s="12"/>
      <c r="P77" s="7">
        <v>770.01</v>
      </c>
      <c r="Q77" s="3"/>
      <c r="R77" s="8">
        <f t="shared" si="12"/>
        <v>2.288856271294075E-3</v>
      </c>
      <c r="S77" s="3"/>
      <c r="T77" s="7">
        <v>180</v>
      </c>
      <c r="U77" s="3"/>
      <c r="V77" s="8">
        <f t="shared" si="13"/>
        <v>5.9340724550246754E-4</v>
      </c>
      <c r="W77" s="3"/>
      <c r="X77" s="7">
        <f t="shared" si="14"/>
        <v>590.01</v>
      </c>
      <c r="Y77" s="3"/>
      <c r="Z77" s="8">
        <f t="shared" si="15"/>
        <v>3.2778333333333332</v>
      </c>
    </row>
    <row r="78" spans="1:26" s="70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7">
        <v>13.98</v>
      </c>
      <c r="E78" s="3"/>
      <c r="F78" s="8">
        <f t="shared" si="8"/>
        <v>3.0629273829870819E-4</v>
      </c>
      <c r="G78" s="3"/>
      <c r="H78" s="7">
        <v>20</v>
      </c>
      <c r="I78" s="3"/>
      <c r="J78" s="8">
        <f t="shared" si="9"/>
        <v>3.2973374000494601E-4</v>
      </c>
      <c r="K78" s="3"/>
      <c r="L78" s="7">
        <f t="shared" si="10"/>
        <v>-6.02</v>
      </c>
      <c r="M78" s="3"/>
      <c r="N78" s="8">
        <f t="shared" si="11"/>
        <v>-0.30099999999999999</v>
      </c>
      <c r="O78" s="12"/>
      <c r="P78" s="7">
        <v>378.79</v>
      </c>
      <c r="Q78" s="3"/>
      <c r="R78" s="8">
        <f t="shared" si="12"/>
        <v>1.1259540356663975E-3</v>
      </c>
      <c r="S78" s="3"/>
      <c r="T78" s="7">
        <v>200</v>
      </c>
      <c r="U78" s="3"/>
      <c r="V78" s="8">
        <f t="shared" si="13"/>
        <v>6.5934138389163064E-4</v>
      </c>
      <c r="W78" s="3"/>
      <c r="X78" s="7">
        <f t="shared" si="14"/>
        <v>178.79000000000002</v>
      </c>
      <c r="Y78" s="3"/>
      <c r="Z78" s="8">
        <f t="shared" si="15"/>
        <v>0.89395000000000013</v>
      </c>
    </row>
    <row r="79" spans="1:26" s="70" customFormat="1" ht="15" hidden="1" customHeight="1" outlineLevel="2" x14ac:dyDescent="0.3">
      <c r="A79" s="26"/>
      <c r="B79" s="12" t="str">
        <f>CONCATENATE("          ","6247"," - ","STORE SUPPLIES")</f>
        <v xml:space="preserve">          6247 - STORE SUPPLIES</v>
      </c>
      <c r="C79" s="12"/>
      <c r="D79" s="7"/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0</v>
      </c>
      <c r="M79" s="3"/>
      <c r="N79" s="8">
        <f t="shared" si="11"/>
        <v>0</v>
      </c>
      <c r="O79" s="12"/>
      <c r="P79" s="7">
        <v>603.95000000000005</v>
      </c>
      <c r="Q79" s="3"/>
      <c r="R79" s="8">
        <f t="shared" si="12"/>
        <v>1.7952425878210111E-3</v>
      </c>
      <c r="S79" s="3"/>
      <c r="T79" s="7"/>
      <c r="U79" s="3"/>
      <c r="V79" s="8">
        <f t="shared" si="13"/>
        <v>0</v>
      </c>
      <c r="W79" s="3"/>
      <c r="X79" s="7">
        <f t="shared" si="14"/>
        <v>603.95000000000005</v>
      </c>
      <c r="Y79" s="3"/>
      <c r="Z79" s="8">
        <f t="shared" si="15"/>
        <v>0</v>
      </c>
    </row>
    <row r="80" spans="1:26" s="69" customFormat="1" ht="15" customHeight="1" outlineLevel="1" collapsed="1" x14ac:dyDescent="0.3">
      <c r="A80" s="25"/>
      <c r="B80" s="14" t="str">
        <f>CONCATENATE("     ","Telephone/Data Lines                              ")</f>
        <v xml:space="preserve">     Telephone/Data Lines                              </v>
      </c>
      <c r="C80" s="14"/>
      <c r="D80" s="2">
        <f>SUM(OSRRefD22_15x_0)</f>
        <v>310.33999999999997</v>
      </c>
      <c r="E80" s="2"/>
      <c r="F80" s="6">
        <f t="shared" si="8"/>
        <v>6.7993482406023672E-3</v>
      </c>
      <c r="G80" s="2"/>
      <c r="H80" s="2">
        <f>SUM(OSRRefH22_15x_0)</f>
        <v>250</v>
      </c>
      <c r="I80" s="2"/>
      <c r="J80" s="6">
        <f t="shared" si="9"/>
        <v>4.1216717500618246E-3</v>
      </c>
      <c r="K80" s="2"/>
      <c r="L80" s="2">
        <f t="shared" si="10"/>
        <v>60.339999999999975</v>
      </c>
      <c r="M80" s="2"/>
      <c r="N80" s="6">
        <f t="shared" si="11"/>
        <v>0.24135999999999991</v>
      </c>
      <c r="O80" s="14"/>
      <c r="P80" s="2">
        <f>SUM(OSRRefP22_15x_0)</f>
        <v>3110.6</v>
      </c>
      <c r="Q80" s="2"/>
      <c r="R80" s="6">
        <f t="shared" si="12"/>
        <v>9.2462647465453053E-3</v>
      </c>
      <c r="S80" s="2"/>
      <c r="T80" s="2">
        <f>SUM(OSRRefT22_15x_0)</f>
        <v>2500</v>
      </c>
      <c r="U80" s="2"/>
      <c r="V80" s="6">
        <f t="shared" si="13"/>
        <v>8.2417672986453833E-3</v>
      </c>
      <c r="W80" s="2"/>
      <c r="X80" s="2">
        <f t="shared" si="14"/>
        <v>610.59999999999991</v>
      </c>
      <c r="Y80" s="2"/>
      <c r="Z80" s="6">
        <f t="shared" si="15"/>
        <v>0.24423999999999996</v>
      </c>
    </row>
    <row r="81" spans="1:26" s="70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7">
        <v>310.33999999999997</v>
      </c>
      <c r="E81" s="3"/>
      <c r="F81" s="8">
        <f t="shared" si="8"/>
        <v>6.7993482406023672E-3</v>
      </c>
      <c r="G81" s="3"/>
      <c r="H81" s="7">
        <v>250</v>
      </c>
      <c r="I81" s="3"/>
      <c r="J81" s="8">
        <f t="shared" si="9"/>
        <v>4.1216717500618246E-3</v>
      </c>
      <c r="K81" s="3"/>
      <c r="L81" s="7">
        <f t="shared" si="10"/>
        <v>60.339999999999975</v>
      </c>
      <c r="M81" s="3"/>
      <c r="N81" s="8">
        <f t="shared" si="11"/>
        <v>0.24135999999999991</v>
      </c>
      <c r="O81" s="12"/>
      <c r="P81" s="7">
        <v>3110.6</v>
      </c>
      <c r="Q81" s="3"/>
      <c r="R81" s="8">
        <f t="shared" si="12"/>
        <v>9.2462647465453053E-3</v>
      </c>
      <c r="S81" s="3"/>
      <c r="T81" s="7">
        <v>2500</v>
      </c>
      <c r="U81" s="3"/>
      <c r="V81" s="8">
        <f t="shared" si="13"/>
        <v>8.2417672986453833E-3</v>
      </c>
      <c r="W81" s="3"/>
      <c r="X81" s="7">
        <f t="shared" si="14"/>
        <v>610.59999999999991</v>
      </c>
      <c r="Y81" s="3"/>
      <c r="Z81" s="8">
        <f t="shared" si="15"/>
        <v>0.24423999999999996</v>
      </c>
    </row>
    <row r="82" spans="1:26" s="69" customFormat="1" ht="15" customHeight="1" outlineLevel="1" collapsed="1" x14ac:dyDescent="0.3">
      <c r="A82" s="25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SUM(OSRRefD22_16x_0)</f>
        <v>0</v>
      </c>
      <c r="E82" s="2"/>
      <c r="F82" s="6">
        <f t="shared" si="8"/>
        <v>0</v>
      </c>
      <c r="G82" s="2"/>
      <c r="H82" s="2">
        <f>SUM(OSRRefH22_16x_0)</f>
        <v>25</v>
      </c>
      <c r="I82" s="2"/>
      <c r="J82" s="6">
        <f t="shared" si="9"/>
        <v>4.1216717500618252E-4</v>
      </c>
      <c r="K82" s="2"/>
      <c r="L82" s="2">
        <f t="shared" si="10"/>
        <v>-25</v>
      </c>
      <c r="M82" s="2"/>
      <c r="N82" s="6">
        <f t="shared" si="11"/>
        <v>-1</v>
      </c>
      <c r="O82" s="14"/>
      <c r="P82" s="2">
        <f>SUM(OSRRefP22_16x_0)</f>
        <v>326.08999999999997</v>
      </c>
      <c r="Q82" s="2"/>
      <c r="R82" s="6">
        <f t="shared" si="12"/>
        <v>9.6930317983699547E-4</v>
      </c>
      <c r="S82" s="2"/>
      <c r="T82" s="2">
        <f>SUM(OSRRefT22_16x_0)</f>
        <v>500</v>
      </c>
      <c r="U82" s="2"/>
      <c r="V82" s="6">
        <f t="shared" si="13"/>
        <v>1.6483534597290766E-3</v>
      </c>
      <c r="W82" s="2"/>
      <c r="X82" s="2">
        <f t="shared" si="14"/>
        <v>-173.91000000000003</v>
      </c>
      <c r="Y82" s="2"/>
      <c r="Z82" s="6">
        <f t="shared" si="15"/>
        <v>-0.34782000000000007</v>
      </c>
    </row>
    <row r="83" spans="1:26" s="70" customFormat="1" ht="15" hidden="1" customHeight="1" outlineLevel="2" x14ac:dyDescent="0.3">
      <c r="A83" s="26"/>
      <c r="B83" s="12" t="str">
        <f>CONCATENATE("          ","6294"," - ","TRAVEL OPERATIONAL")</f>
        <v xml:space="preserve">          6294 - TRAVEL OPERATIONAL</v>
      </c>
      <c r="C83" s="12"/>
      <c r="D83" s="7"/>
      <c r="E83" s="3"/>
      <c r="F83" s="8">
        <f t="shared" si="8"/>
        <v>0</v>
      </c>
      <c r="G83" s="3"/>
      <c r="H83" s="7"/>
      <c r="I83" s="3"/>
      <c r="J83" s="8">
        <f t="shared" si="9"/>
        <v>0</v>
      </c>
      <c r="K83" s="3"/>
      <c r="L83" s="7">
        <f t="shared" si="10"/>
        <v>0</v>
      </c>
      <c r="M83" s="3"/>
      <c r="N83" s="8">
        <f t="shared" si="11"/>
        <v>0</v>
      </c>
      <c r="O83" s="12"/>
      <c r="P83" s="7">
        <v>326.08999999999997</v>
      </c>
      <c r="Q83" s="3"/>
      <c r="R83" s="8">
        <f t="shared" si="12"/>
        <v>9.6930317983699547E-4</v>
      </c>
      <c r="S83" s="3"/>
      <c r="T83" s="7"/>
      <c r="U83" s="3"/>
      <c r="V83" s="8">
        <f t="shared" si="13"/>
        <v>0</v>
      </c>
      <c r="W83" s="3"/>
      <c r="X83" s="7">
        <f t="shared" si="14"/>
        <v>326.08999999999997</v>
      </c>
      <c r="Y83" s="3"/>
      <c r="Z83" s="8">
        <f t="shared" si="15"/>
        <v>0</v>
      </c>
    </row>
    <row r="84" spans="1:26" s="70" customFormat="1" ht="15" hidden="1" customHeight="1" outlineLevel="2" x14ac:dyDescent="0.3">
      <c r="A84" s="26"/>
      <c r="B84" s="12" t="str">
        <f>CONCATENATE("          ","6298"," - ","VEHICLE MILEAGE")</f>
        <v xml:space="preserve">          6298 - VEHICLE MILEAGE</v>
      </c>
      <c r="C84" s="12"/>
      <c r="D84" s="7"/>
      <c r="E84" s="3"/>
      <c r="F84" s="8">
        <f t="shared" si="8"/>
        <v>0</v>
      </c>
      <c r="G84" s="3"/>
      <c r="H84" s="7">
        <v>25</v>
      </c>
      <c r="I84" s="3"/>
      <c r="J84" s="8">
        <f t="shared" si="9"/>
        <v>4.1216717500618252E-4</v>
      </c>
      <c r="K84" s="3"/>
      <c r="L84" s="7">
        <f t="shared" si="10"/>
        <v>-25</v>
      </c>
      <c r="M84" s="3"/>
      <c r="N84" s="8">
        <f t="shared" si="11"/>
        <v>-1</v>
      </c>
      <c r="O84" s="12"/>
      <c r="P84" s="7"/>
      <c r="Q84" s="3"/>
      <c r="R84" s="8">
        <f t="shared" si="12"/>
        <v>0</v>
      </c>
      <c r="S84" s="3"/>
      <c r="T84" s="7">
        <v>500</v>
      </c>
      <c r="U84" s="3"/>
      <c r="V84" s="8">
        <f t="shared" si="13"/>
        <v>1.6483534597290766E-3</v>
      </c>
      <c r="W84" s="3"/>
      <c r="X84" s="7">
        <f t="shared" si="14"/>
        <v>-500</v>
      </c>
      <c r="Y84" s="3"/>
      <c r="Z84" s="8">
        <f t="shared" si="15"/>
        <v>-1</v>
      </c>
    </row>
    <row r="85" spans="1:26" s="69" customFormat="1" ht="15" customHeight="1" outlineLevel="1" collapsed="1" x14ac:dyDescent="0.3">
      <c r="A85" s="25"/>
      <c r="B85" s="14" t="str">
        <f>CONCATENATE("     ","Utilities                                         ")</f>
        <v xml:space="preserve">     Utilities                                         </v>
      </c>
      <c r="C85" s="14"/>
      <c r="D85" s="2">
        <f>SUM(OSRRefD22_17x_0)</f>
        <v>254.32</v>
      </c>
      <c r="E85" s="2"/>
      <c r="F85" s="6">
        <f t="shared" si="8"/>
        <v>5.5719863522265718E-3</v>
      </c>
      <c r="G85" s="2"/>
      <c r="H85" s="2">
        <f>SUM(OSRRefH22_17x_0)</f>
        <v>120</v>
      </c>
      <c r="I85" s="2"/>
      <c r="J85" s="6">
        <f t="shared" si="9"/>
        <v>1.9784024400296761E-3</v>
      </c>
      <c r="K85" s="2"/>
      <c r="L85" s="2">
        <f t="shared" si="10"/>
        <v>134.32</v>
      </c>
      <c r="M85" s="2"/>
      <c r="N85" s="6">
        <f t="shared" si="11"/>
        <v>1.1193333333333333</v>
      </c>
      <c r="O85" s="14"/>
      <c r="P85" s="2">
        <f>SUM(OSRRefP22_17x_0)</f>
        <v>1287.22</v>
      </c>
      <c r="Q85" s="2"/>
      <c r="R85" s="6">
        <f t="shared" si="12"/>
        <v>3.8262640349283248E-3</v>
      </c>
      <c r="S85" s="2"/>
      <c r="T85" s="2">
        <f>SUM(OSRRefT22_17x_0)</f>
        <v>3880</v>
      </c>
      <c r="U85" s="2"/>
      <c r="V85" s="6">
        <f t="shared" si="13"/>
        <v>1.2791222847497634E-2</v>
      </c>
      <c r="W85" s="2"/>
      <c r="X85" s="2">
        <f t="shared" si="14"/>
        <v>-2592.7799999999997</v>
      </c>
      <c r="Y85" s="2"/>
      <c r="Z85" s="6">
        <f t="shared" si="15"/>
        <v>-0.6682422680412371</v>
      </c>
    </row>
    <row r="86" spans="1:26" s="70" customFormat="1" ht="15" hidden="1" customHeight="1" outlineLevel="2" x14ac:dyDescent="0.3">
      <c r="A86" s="26"/>
      <c r="B86" s="12" t="str">
        <f>CONCATENATE("          ","6274"," - ","UTILITIES")</f>
        <v xml:space="preserve">          6274 - UTILITIES</v>
      </c>
      <c r="C86" s="12"/>
      <c r="D86" s="7">
        <v>254.32</v>
      </c>
      <c r="E86" s="3"/>
      <c r="F86" s="8">
        <f t="shared" si="8"/>
        <v>5.5719863522265718E-3</v>
      </c>
      <c r="G86" s="3"/>
      <c r="H86" s="7">
        <v>120</v>
      </c>
      <c r="I86" s="3"/>
      <c r="J86" s="8">
        <f t="shared" si="9"/>
        <v>1.9784024400296761E-3</v>
      </c>
      <c r="K86" s="3"/>
      <c r="L86" s="7">
        <f t="shared" si="10"/>
        <v>134.32</v>
      </c>
      <c r="M86" s="3"/>
      <c r="N86" s="8">
        <f t="shared" si="11"/>
        <v>1.1193333333333333</v>
      </c>
      <c r="O86" s="12"/>
      <c r="P86" s="7">
        <v>1287.22</v>
      </c>
      <c r="Q86" s="3"/>
      <c r="R86" s="8">
        <f t="shared" si="12"/>
        <v>3.8262640349283248E-3</v>
      </c>
      <c r="S86" s="3"/>
      <c r="T86" s="7">
        <v>3880</v>
      </c>
      <c r="U86" s="3"/>
      <c r="V86" s="8">
        <f t="shared" si="13"/>
        <v>1.2791222847497634E-2</v>
      </c>
      <c r="W86" s="3"/>
      <c r="X86" s="7">
        <f t="shared" si="14"/>
        <v>-2592.7799999999997</v>
      </c>
      <c r="Y86" s="3"/>
      <c r="Z86" s="8">
        <f t="shared" si="15"/>
        <v>-0.6682422680412371</v>
      </c>
    </row>
    <row r="87" spans="1:26" s="65" customFormat="1" ht="15" customHeight="1" x14ac:dyDescent="0.3">
      <c r="A87" s="35"/>
      <c r="B87" s="35"/>
      <c r="C87" s="35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5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3" customFormat="1" ht="15" customHeight="1" x14ac:dyDescent="0.3">
      <c r="A88" s="11"/>
      <c r="B88" s="28" t="s">
        <v>291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7" t="s">
        <v>292</v>
      </c>
      <c r="C90" s="27"/>
      <c r="D90" s="21">
        <f>+D24-D26+D88</f>
        <v>3506.2999999999956</v>
      </c>
      <c r="E90" s="15"/>
      <c r="F90" s="23">
        <f>IF(D$12=0,0,D90/D$12)</f>
        <v>7.6820760250125839E-2</v>
      </c>
      <c r="G90" s="15"/>
      <c r="H90" s="21">
        <f>+H24-H26+H88</f>
        <v>9305.5910700384557</v>
      </c>
      <c r="I90" s="15"/>
      <c r="J90" s="23">
        <f>IF(H$12=0,0,H90/H$12)</f>
        <v>0.15341836732402037</v>
      </c>
      <c r="K90" s="17"/>
      <c r="L90" s="21">
        <f>+D90-H90</f>
        <v>-5799.29107003846</v>
      </c>
      <c r="M90" s="17"/>
      <c r="N90" s="23">
        <f>IF(H90=0,0,L90/H90)</f>
        <v>-0.62320502012071488</v>
      </c>
      <c r="O90" s="28"/>
      <c r="P90" s="21">
        <f>+P24-P26+P88</f>
        <v>5191.8799999999464</v>
      </c>
      <c r="Q90" s="15"/>
      <c r="R90" s="23">
        <f>IF(P$12=0,0,P90/P$12)</f>
        <v>1.5432873726063506E-2</v>
      </c>
      <c r="S90" s="15"/>
      <c r="T90" s="21">
        <f>+T24-T26+T88</f>
        <v>-57119.965817861521</v>
      </c>
      <c r="U90" s="15"/>
      <c r="V90" s="23">
        <f>IF(T$12=0,0,T90/T$12)</f>
        <v>-0.18830778655095726</v>
      </c>
      <c r="W90" s="17"/>
      <c r="X90" s="21">
        <f>+P90-T90</f>
        <v>62311.845817861467</v>
      </c>
      <c r="Y90" s="17"/>
      <c r="Z90" s="23">
        <f>IF(T90=0,0,X90/T90)</f>
        <v>-1.0908943120966721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49"/>
      <c r="B92" s="11" t="s">
        <v>293</v>
      </c>
      <c r="C92" s="11"/>
      <c r="D92" s="5">
        <v>3407.41</v>
      </c>
      <c r="E92" s="5"/>
      <c r="F92" s="13">
        <f>IF(D$12=0,0,D92/D$12)</f>
        <v>7.4654144449671056E-2</v>
      </c>
      <c r="G92" s="5"/>
      <c r="H92" s="5">
        <v>7761</v>
      </c>
      <c r="I92" s="5"/>
      <c r="J92" s="13">
        <f>IF(H$12=0,0,H92/H$12)</f>
        <v>0.12795317780891929</v>
      </c>
      <c r="K92" s="5"/>
      <c r="L92" s="5">
        <f>+D92-H92</f>
        <v>-4353.59</v>
      </c>
      <c r="M92" s="5"/>
      <c r="N92" s="13">
        <f>IF(H92=0,0,L92/H92)</f>
        <v>-0.56095735085684839</v>
      </c>
      <c r="O92" s="11"/>
      <c r="P92" s="5">
        <v>38110.61</v>
      </c>
      <c r="Q92" s="5"/>
      <c r="R92" s="13">
        <f>IF(P$12=0,0,P92/P$12)</f>
        <v>0.11328386475674691</v>
      </c>
      <c r="S92" s="5"/>
      <c r="T92" s="5">
        <v>37315</v>
      </c>
      <c r="U92" s="5"/>
      <c r="V92" s="13">
        <f>IF(T$12=0,0,T92/T$12)</f>
        <v>0.12301661869958098</v>
      </c>
      <c r="W92" s="5"/>
      <c r="X92" s="5">
        <f>+P92-T92</f>
        <v>795.61000000000058</v>
      </c>
      <c r="Y92" s="5"/>
      <c r="Z92" s="13">
        <f>IF(T92=0,0,X92/T92)</f>
        <v>2.1321452498995058E-2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294</v>
      </c>
      <c r="C94" s="27"/>
      <c r="D94" s="29">
        <f>+D90-D92</f>
        <v>98.88999999999578</v>
      </c>
      <c r="E94" s="15"/>
      <c r="F94" s="30">
        <f>IF(D$12=0,0,D94/D$12)</f>
        <v>2.1666158004547899E-3</v>
      </c>
      <c r="G94" s="15"/>
      <c r="H94" s="29">
        <f>+H90-H92</f>
        <v>1544.5910700384557</v>
      </c>
      <c r="I94" s="15"/>
      <c r="J94" s="30">
        <f>IF(H$12=0,0,H94/H$12)</f>
        <v>2.5465189515101076E-2</v>
      </c>
      <c r="K94" s="17"/>
      <c r="L94" s="29">
        <f>D94-H94</f>
        <v>-1445.7010700384599</v>
      </c>
      <c r="M94" s="17"/>
      <c r="N94" s="30">
        <f>IF(H94=0,0,L94/H94)</f>
        <v>-0.93597658181622545</v>
      </c>
      <c r="O94" s="28"/>
      <c r="P94" s="29">
        <f>+P90-P92</f>
        <v>-32918.730000000054</v>
      </c>
      <c r="Q94" s="15"/>
      <c r="R94" s="30">
        <f>IF(P$12=0,0,P94/P$12)</f>
        <v>-9.7850991030683412E-2</v>
      </c>
      <c r="S94" s="15"/>
      <c r="T94" s="29">
        <f>+T90-T92</f>
        <v>-94434.965817861521</v>
      </c>
      <c r="U94" s="15"/>
      <c r="V94" s="30">
        <f>IF(T$12=0,0,T94/T$12)</f>
        <v>-0.31132440525053828</v>
      </c>
      <c r="W94" s="17"/>
      <c r="X94" s="29">
        <f>P94-T94</f>
        <v>61516.235817861467</v>
      </c>
      <c r="Y94" s="17"/>
      <c r="Z94" s="30">
        <f>IF(T94=0,0,X94/T94)</f>
        <v>-0.65141375638880383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297</v>
      </c>
      <c r="C97" s="27"/>
      <c r="D97" s="32">
        <f>SUM(D94:D96)</f>
        <v>98.88999999999578</v>
      </c>
      <c r="E97" s="15"/>
      <c r="F97" s="34">
        <f>IF(D$12=0,0,D97/D$12)</f>
        <v>2.1666158004547899E-3</v>
      </c>
      <c r="G97" s="15"/>
      <c r="H97" s="32">
        <f>SUM(H94:H96)</f>
        <v>1544.5910700384557</v>
      </c>
      <c r="I97" s="15"/>
      <c r="J97" s="34">
        <f>IF(H$12=0,0,H97/H$12)</f>
        <v>2.5465189515101076E-2</v>
      </c>
      <c r="K97" s="17"/>
      <c r="L97" s="32">
        <f>+D97-H97</f>
        <v>-1445.7010700384599</v>
      </c>
      <c r="M97" s="17"/>
      <c r="N97" s="34">
        <f>IF(H97=0,0,L97/H97)</f>
        <v>-0.93597658181622545</v>
      </c>
      <c r="O97" s="28"/>
      <c r="P97" s="32">
        <f>SUM(P94:P96)</f>
        <v>-32918.730000000054</v>
      </c>
      <c r="Q97" s="15"/>
      <c r="R97" s="34">
        <f>IF(P$12=0,0,P97/P$12)</f>
        <v>-9.7850991030683412E-2</v>
      </c>
      <c r="S97" s="15"/>
      <c r="T97" s="32">
        <f>SUM(T94:T96)</f>
        <v>-94434.965817861521</v>
      </c>
      <c r="U97" s="15"/>
      <c r="V97" s="34">
        <f>IF(T$12=0,0,T97/T$12)</f>
        <v>-0.31132440525053828</v>
      </c>
      <c r="W97" s="17"/>
      <c r="X97" s="32">
        <f>+P97-T97</f>
        <v>61516.235817861467</v>
      </c>
      <c r="Y97" s="17"/>
      <c r="Z97" s="34">
        <f>IF(T97=0,0,X97/T97)</f>
        <v>-0.65141375638880383</v>
      </c>
    </row>
    <row r="98" spans="1:26" ht="15" customHeight="1" x14ac:dyDescent="0.3">
      <c r="A98" s="10"/>
      <c r="C98" s="10"/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6" ht="15" customHeight="1" x14ac:dyDescent="0.3">
      <c r="A99" s="10"/>
      <c r="B99" s="56">
        <v>44694.888552430559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0" t="s">
        <v>298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1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E6D87-28AC-1C91-2A4C-C73BDEE2FDDC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299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5"/>
      <c r="L18" s="22">
        <f>+D18-H18</f>
        <v>0</v>
      </c>
      <c r="M18" s="5"/>
      <c r="N18" s="33">
        <f>IF(H18=0,0,L18/H18)</f>
        <v>0</v>
      </c>
      <c r="O18" s="11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5"/>
      <c r="X18" s="22">
        <f>+P18-T18</f>
        <v>0</v>
      </c>
      <c r="Y18" s="5"/>
      <c r="Z18" s="33">
        <f>IF(T18=0,0,X18/T18)</f>
        <v>0</v>
      </c>
    </row>
    <row r="19" spans="1:26" s="65" customFormat="1" ht="15" customHeight="1" x14ac:dyDescent="0.3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292</v>
      </c>
      <c r="C22" s="27"/>
      <c r="D22" s="21">
        <f>+D16-D18+D20</f>
        <v>0</v>
      </c>
      <c r="E22" s="15"/>
      <c r="F22" s="23">
        <f>IF(D$12=0,0,D22/D$12)</f>
        <v>0</v>
      </c>
      <c r="G22" s="15"/>
      <c r="H22" s="21">
        <f>+H16-H18+H20</f>
        <v>0</v>
      </c>
      <c r="I22" s="15"/>
      <c r="J22" s="23">
        <f>IF(H$12=0,0,H22/H$12)</f>
        <v>0</v>
      </c>
      <c r="K22" s="17"/>
      <c r="L22" s="21">
        <f>+D22-H22</f>
        <v>0</v>
      </c>
      <c r="M22" s="17"/>
      <c r="N22" s="23">
        <f>IF(H22=0,0,L22/H22)</f>
        <v>0</v>
      </c>
      <c r="O22" s="28"/>
      <c r="P22" s="21">
        <f>+P16-P18+P20</f>
        <v>0</v>
      </c>
      <c r="Q22" s="15"/>
      <c r="R22" s="23">
        <f>IF(P$12=0,0,P22/P$12)</f>
        <v>0</v>
      </c>
      <c r="S22" s="15"/>
      <c r="T22" s="21">
        <f>+T16-T18+T20</f>
        <v>0</v>
      </c>
      <c r="U22" s="15"/>
      <c r="V22" s="23">
        <f>IF(T$12=0,0,T22/T$12)</f>
        <v>0</v>
      </c>
      <c r="W22" s="17"/>
      <c r="X22" s="21">
        <f>+P22-T22</f>
        <v>0</v>
      </c>
      <c r="Y22" s="17"/>
      <c r="Z22" s="23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7" t="s">
        <v>294</v>
      </c>
      <c r="C26" s="27"/>
      <c r="D26" s="29">
        <f>+D22-D24</f>
        <v>0</v>
      </c>
      <c r="E26" s="15"/>
      <c r="F26" s="30">
        <f>IF(D$12=0,0,D26/D$12)</f>
        <v>0</v>
      </c>
      <c r="G26" s="15"/>
      <c r="H26" s="29">
        <f>+H22-H24</f>
        <v>0</v>
      </c>
      <c r="I26" s="15"/>
      <c r="J26" s="30">
        <f>IF(H$12=0,0,H26/H$12)</f>
        <v>0</v>
      </c>
      <c r="K26" s="17"/>
      <c r="L26" s="29">
        <f>D26-H26</f>
        <v>0</v>
      </c>
      <c r="M26" s="17"/>
      <c r="N26" s="30">
        <f>IF(H26=0,0,L26/H26)</f>
        <v>0</v>
      </c>
      <c r="O26" s="28"/>
      <c r="P26" s="29">
        <f>+P22-P24</f>
        <v>0</v>
      </c>
      <c r="Q26" s="15"/>
      <c r="R26" s="30">
        <f>IF(P$12=0,0,P26/P$12)</f>
        <v>0</v>
      </c>
      <c r="S26" s="15"/>
      <c r="T26" s="29">
        <f>+T22-T24</f>
        <v>0</v>
      </c>
      <c r="U26" s="15"/>
      <c r="V26" s="30">
        <f>IF(T$12=0,0,T26/T$12)</f>
        <v>0</v>
      </c>
      <c r="W26" s="17"/>
      <c r="X26" s="29">
        <f>P26-T26</f>
        <v>0</v>
      </c>
      <c r="Y26" s="17"/>
      <c r="Z26" s="30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295</v>
      </c>
      <c r="C28" s="11"/>
      <c r="D28" s="5">
        <f>-631914.9</f>
        <v>-631914.9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-646914.9</v>
      </c>
      <c r="M28" s="5"/>
      <c r="N28" s="13">
        <f>IF(H28=0,0,L28/H28)</f>
        <v>-43.127659999999999</v>
      </c>
      <c r="O28" s="11"/>
      <c r="P28" s="5">
        <f>-1586831.27</f>
        <v>-1586831.27</v>
      </c>
      <c r="Q28" s="5"/>
      <c r="R28" s="13">
        <f>IF(P$12=0,0,P28/P$12)</f>
        <v>0</v>
      </c>
      <c r="S28" s="5"/>
      <c r="T28" s="5">
        <f>--150000</f>
        <v>150000</v>
      </c>
      <c r="U28" s="5"/>
      <c r="V28" s="13">
        <f>IF(T$12=0,0,T28/T$12)</f>
        <v>0</v>
      </c>
      <c r="W28" s="5"/>
      <c r="X28" s="5">
        <f>+P28-T28</f>
        <v>-1736831.27</v>
      </c>
      <c r="Y28" s="5"/>
      <c r="Z28" s="13">
        <f>IF(T28=0,0,X28/T28)</f>
        <v>-11.578875133333334</v>
      </c>
    </row>
    <row r="29" spans="1:26" s="63" customFormat="1" ht="15" customHeight="1" x14ac:dyDescent="0.3">
      <c r="A29" s="49"/>
      <c r="B29" s="11" t="s">
        <v>296</v>
      </c>
      <c r="C29" s="11"/>
      <c r="D29" s="5">
        <f>--9521.98</f>
        <v>9521.98</v>
      </c>
      <c r="E29" s="5"/>
      <c r="F29" s="13">
        <f>IF(D$12=0,0,D29/D$12)</f>
        <v>0</v>
      </c>
      <c r="G29" s="5"/>
      <c r="H29" s="5">
        <f>--15000</f>
        <v>15000</v>
      </c>
      <c r="I29" s="5"/>
      <c r="J29" s="13">
        <f>IF(H$12=0,0,H29/H$12)</f>
        <v>0</v>
      </c>
      <c r="K29" s="5"/>
      <c r="L29" s="5">
        <f>+D29-H29</f>
        <v>-5478.02</v>
      </c>
      <c r="M29" s="5"/>
      <c r="N29" s="13">
        <f>IF(H29=0,0,L29/H29)</f>
        <v>-0.36520133333333338</v>
      </c>
      <c r="O29" s="11"/>
      <c r="P29" s="5">
        <f>--2342787.45</f>
        <v>2342787.4500000002</v>
      </c>
      <c r="Q29" s="5"/>
      <c r="R29" s="13">
        <f>IF(P$12=0,0,P29/P$12)</f>
        <v>0</v>
      </c>
      <c r="S29" s="5"/>
      <c r="T29" s="5">
        <f>--165000</f>
        <v>165000</v>
      </c>
      <c r="U29" s="5"/>
      <c r="V29" s="13">
        <f>IF(T$12=0,0,T29/T$12)</f>
        <v>0</v>
      </c>
      <c r="W29" s="5"/>
      <c r="X29" s="5">
        <f>+P29-T29</f>
        <v>2177787.4500000002</v>
      </c>
      <c r="Y29" s="5"/>
      <c r="Z29" s="13">
        <f>IF(T29=0,0,X29/T29)</f>
        <v>13.198711818181819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297</v>
      </c>
      <c r="C31" s="27"/>
      <c r="D31" s="32">
        <f>SUM(D26:D30)</f>
        <v>-622392.92000000004</v>
      </c>
      <c r="E31" s="15"/>
      <c r="F31" s="34">
        <f>IF(D$12=0,0,D31/D$12)</f>
        <v>0</v>
      </c>
      <c r="G31" s="15"/>
      <c r="H31" s="32">
        <f>SUM(H26:H30)</f>
        <v>30000</v>
      </c>
      <c r="I31" s="15"/>
      <c r="J31" s="34">
        <f>IF(H$12=0,0,H31/H$12)</f>
        <v>0</v>
      </c>
      <c r="K31" s="17"/>
      <c r="L31" s="32">
        <f>+D31-H31</f>
        <v>-652392.92000000004</v>
      </c>
      <c r="M31" s="17"/>
      <c r="N31" s="34">
        <f>IF(H31=0,0,L31/H31)</f>
        <v>-21.746430666666669</v>
      </c>
      <c r="O31" s="28"/>
      <c r="P31" s="32">
        <f>SUM(P26:P30)</f>
        <v>755956.18000000017</v>
      </c>
      <c r="Q31" s="15"/>
      <c r="R31" s="34">
        <f>IF(P$12=0,0,P31/P$12)</f>
        <v>0</v>
      </c>
      <c r="S31" s="15"/>
      <c r="T31" s="32">
        <f>SUM(T26:T30)</f>
        <v>315000</v>
      </c>
      <c r="U31" s="15"/>
      <c r="V31" s="34">
        <f>IF(T$12=0,0,T31/T$12)</f>
        <v>0</v>
      </c>
      <c r="W31" s="17"/>
      <c r="X31" s="32">
        <f>+P31-T31</f>
        <v>440956.18000000017</v>
      </c>
      <c r="Y31" s="17"/>
      <c r="Z31" s="34">
        <f>IF(T31=0,0,X31/T31)</f>
        <v>1.3998608888888895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6">
        <v>44694.888536539351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0" t="s">
        <v>298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1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748A7-F7AA-23AF-11F1-7FD69B414321}">
  <sheetPr>
    <tabColor rgb="FFFFFF00"/>
    <outlinePr summaryBelow="0" summaryRight="0"/>
  </sheetPr>
  <dimension ref="A2:Z9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308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30367.83</v>
      </c>
      <c r="E12" s="5"/>
      <c r="F12" s="13"/>
      <c r="G12" s="5"/>
      <c r="H12" s="5">
        <f>SUM(OSRRefH13x_0)</f>
        <v>40000</v>
      </c>
      <c r="I12" s="5"/>
      <c r="J12" s="13"/>
      <c r="K12" s="5"/>
      <c r="L12" s="5">
        <f t="shared" ref="L12:L17" si="0">+D12-H12</f>
        <v>-9632.1699999999983</v>
      </c>
      <c r="M12" s="5"/>
      <c r="N12" s="13">
        <f t="shared" ref="N12:N17" si="1">IF(H12=0,0,L12/H12)</f>
        <v>-0.24080424999999997</v>
      </c>
      <c r="O12" s="11"/>
      <c r="P12" s="5">
        <f>SUM(OSRRefP13x_0)</f>
        <v>195002.45000000004</v>
      </c>
      <c r="Q12" s="5"/>
      <c r="R12" s="13"/>
      <c r="S12" s="5"/>
      <c r="T12" s="5">
        <f>SUM(OSRRefT13x_0)</f>
        <v>353330</v>
      </c>
      <c r="U12" s="5"/>
      <c r="V12" s="13"/>
      <c r="W12" s="5"/>
      <c r="X12" s="5">
        <f t="shared" ref="X12:X17" si="2">+P12-T12</f>
        <v>-158327.54999999996</v>
      </c>
      <c r="Y12" s="5"/>
      <c r="Z12" s="13">
        <f t="shared" ref="Z12:Z17" si="3">IF(T12=0,0,X12/T12)</f>
        <v>-0.44810106699119789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--21804.84</f>
        <v>21804.84</v>
      </c>
      <c r="E13" s="3"/>
      <c r="F13" s="20"/>
      <c r="G13" s="3"/>
      <c r="H13" s="3">
        <v>12800</v>
      </c>
      <c r="I13" s="3"/>
      <c r="J13" s="20"/>
      <c r="K13" s="3"/>
      <c r="L13" s="3">
        <f t="shared" si="0"/>
        <v>9004.84</v>
      </c>
      <c r="M13" s="3"/>
      <c r="N13" s="20">
        <f t="shared" si="1"/>
        <v>0.70350312500000001</v>
      </c>
      <c r="O13" s="12"/>
      <c r="P13" s="3">
        <f>--149910.67</f>
        <v>149910.67000000001</v>
      </c>
      <c r="Q13" s="3"/>
      <c r="R13" s="20"/>
      <c r="S13" s="3"/>
      <c r="T13" s="3">
        <v>176330</v>
      </c>
      <c r="U13" s="3"/>
      <c r="V13" s="20"/>
      <c r="W13" s="3"/>
      <c r="X13" s="3">
        <f t="shared" si="2"/>
        <v>-26419.329999999987</v>
      </c>
      <c r="Y13" s="3"/>
      <c r="Z13" s="20">
        <f t="shared" si="3"/>
        <v>-0.14982890035728458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--8945.27</f>
        <v>8945.27</v>
      </c>
      <c r="E14" s="3"/>
      <c r="F14" s="20"/>
      <c r="G14" s="3"/>
      <c r="H14" s="3">
        <v>27200</v>
      </c>
      <c r="I14" s="3"/>
      <c r="J14" s="20"/>
      <c r="K14" s="3"/>
      <c r="L14" s="3">
        <f t="shared" si="0"/>
        <v>-18254.73</v>
      </c>
      <c r="M14" s="3"/>
      <c r="N14" s="20">
        <f t="shared" si="1"/>
        <v>-0.67112977941176466</v>
      </c>
      <c r="O14" s="12"/>
      <c r="P14" s="3">
        <f>--46162.8</f>
        <v>46162.8</v>
      </c>
      <c r="Q14" s="3"/>
      <c r="R14" s="20"/>
      <c r="S14" s="3"/>
      <c r="T14" s="3">
        <v>177000</v>
      </c>
      <c r="U14" s="3"/>
      <c r="V14" s="20"/>
      <c r="W14" s="3"/>
      <c r="X14" s="3">
        <f t="shared" si="2"/>
        <v>-130837.2</v>
      </c>
      <c r="Y14" s="3"/>
      <c r="Z14" s="20">
        <f t="shared" si="3"/>
        <v>-0.73919322033898305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-382.28</f>
        <v>-382.28</v>
      </c>
      <c r="E17" s="3"/>
      <c r="F17" s="20"/>
      <c r="G17" s="3"/>
      <c r="H17" s="3"/>
      <c r="I17" s="3"/>
      <c r="J17" s="20"/>
      <c r="K17" s="3"/>
      <c r="L17" s="3">
        <f t="shared" si="0"/>
        <v>-382.28</v>
      </c>
      <c r="M17" s="3"/>
      <c r="N17" s="20">
        <f t="shared" si="1"/>
        <v>0</v>
      </c>
      <c r="O17" s="12"/>
      <c r="P17" s="3">
        <f>-1071.02</f>
        <v>-1071.02</v>
      </c>
      <c r="Q17" s="3"/>
      <c r="R17" s="20"/>
      <c r="S17" s="3"/>
      <c r="T17" s="3"/>
      <c r="U17" s="3"/>
      <c r="V17" s="20"/>
      <c r="W17" s="3"/>
      <c r="X17" s="3">
        <f t="shared" si="2"/>
        <v>-1071.02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4.2358442163162553E-5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4.2358442163162553E-5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D12-D19</f>
        <v>30367.83</v>
      </c>
      <c r="E23" s="15"/>
      <c r="F23" s="23">
        <f>IF(D$12=0,0,D23/D$12)</f>
        <v>1</v>
      </c>
      <c r="G23" s="15"/>
      <c r="H23" s="21">
        <f>H12-H19</f>
        <v>40000</v>
      </c>
      <c r="I23" s="15"/>
      <c r="J23" s="23">
        <f>IF(H$12=0,0,H23/H$12)</f>
        <v>1</v>
      </c>
      <c r="K23" s="17"/>
      <c r="L23" s="21">
        <f>+D23-H23</f>
        <v>-9632.1699999999983</v>
      </c>
      <c r="M23" s="17"/>
      <c r="N23" s="23">
        <f>IF(H23=0,0,L23/H23)</f>
        <v>-0.24080424999999997</v>
      </c>
      <c r="O23" s="28"/>
      <c r="P23" s="21">
        <f>P12-P19</f>
        <v>194994.19000000003</v>
      </c>
      <c r="Q23" s="15"/>
      <c r="R23" s="23">
        <f>IF(P$12=0,0,P23/P$12)</f>
        <v>0.99995764155783684</v>
      </c>
      <c r="S23" s="15"/>
      <c r="T23" s="21">
        <f>T12-T19</f>
        <v>353330</v>
      </c>
      <c r="U23" s="15"/>
      <c r="V23" s="23">
        <f>IF(T$12=0,0,T23/T$12)</f>
        <v>1</v>
      </c>
      <c r="W23" s="17"/>
      <c r="X23" s="21">
        <f>+P23-T23</f>
        <v>-158335.80999999997</v>
      </c>
      <c r="Y23" s="17"/>
      <c r="Z23" s="23">
        <f>IF(T23=0,0,X23/T23)</f>
        <v>-0.44812444457023171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28384.22</v>
      </c>
      <c r="E25" s="22"/>
      <c r="F25" s="33">
        <f t="shared" ref="F25:F56" si="4">IF(D$12=0,0,D25/D$12)</f>
        <v>0.93468054846197435</v>
      </c>
      <c r="G25" s="22"/>
      <c r="H25" s="22" cm="1">
        <f t="array" ref="H25">SUM(OSRRefH22x_0)</f>
        <v>26953.730955519251</v>
      </c>
      <c r="I25" s="22"/>
      <c r="J25" s="33">
        <f t="shared" ref="J25:J56" si="5">IF(H$12=0,0,H25/H$12)</f>
        <v>0.67384327388798126</v>
      </c>
      <c r="K25" s="5"/>
      <c r="L25" s="22">
        <f t="shared" ref="L25:L56" si="6">+D25-H25</f>
        <v>1430.4890444807497</v>
      </c>
      <c r="M25" s="5"/>
      <c r="N25" s="33">
        <f t="shared" ref="N25:N56" si="7">IF(H25=0,0,L25/H25)</f>
        <v>5.30720235666607E-2</v>
      </c>
      <c r="O25" s="11"/>
      <c r="P25" s="22" cm="1">
        <f t="array" ref="P25">SUM(OSRRefP22x_0)</f>
        <v>245271.87</v>
      </c>
      <c r="Q25" s="22"/>
      <c r="R25" s="33">
        <f t="shared" ref="R25:R56" si="8">IF(P$12=0,0,P25/P$12)</f>
        <v>1.2577886585527511</v>
      </c>
      <c r="S25" s="22"/>
      <c r="T25" s="22" cm="1">
        <f t="array" ref="T25">SUM(OSRRefT22x_0)</f>
        <v>303252.6761944613</v>
      </c>
      <c r="U25" s="22"/>
      <c r="V25" s="33">
        <f t="shared" ref="V25:V56" si="9">IF(T$12=0,0,T25/T$12)</f>
        <v>0.85827038800685274</v>
      </c>
      <c r="W25" s="5"/>
      <c r="X25" s="22">
        <f t="shared" ref="X25:X56" si="10">+P25-T25</f>
        <v>-57980.8061944613</v>
      </c>
      <c r="Y25" s="5"/>
      <c r="Z25" s="33">
        <f t="shared" ref="Z25:Z56" si="11">IF(T25=0,0,X25/T25)</f>
        <v>-0.19119635454521433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5692.91</v>
      </c>
      <c r="E26" s="2"/>
      <c r="F26" s="6">
        <f t="shared" si="4"/>
        <v>0.1874651563842395</v>
      </c>
      <c r="G26" s="2"/>
      <c r="H26" s="2">
        <f>SUM(OSRRefH22_0x_0)</f>
        <v>5059.6947632115398</v>
      </c>
      <c r="I26" s="2"/>
      <c r="J26" s="6">
        <f t="shared" si="5"/>
        <v>0.12649236908028849</v>
      </c>
      <c r="K26" s="2"/>
      <c r="L26" s="2">
        <f t="shared" si="6"/>
        <v>633.21523678846006</v>
      </c>
      <c r="M26" s="2"/>
      <c r="N26" s="6">
        <f t="shared" si="7"/>
        <v>0.12514890056066136</v>
      </c>
      <c r="O26" s="14"/>
      <c r="P26" s="2">
        <f>SUM(OSRRefP22_0x_0)</f>
        <v>72861.66</v>
      </c>
      <c r="Q26" s="2"/>
      <c r="R26" s="6">
        <f t="shared" si="8"/>
        <v>0.37364484394939645</v>
      </c>
      <c r="S26" s="2"/>
      <c r="T26" s="2">
        <f>SUM(OSRRefT22_0x_0)</f>
        <v>58919.315963692265</v>
      </c>
      <c r="U26" s="2"/>
      <c r="V26" s="6">
        <f t="shared" si="9"/>
        <v>0.16675435418360249</v>
      </c>
      <c r="W26" s="2"/>
      <c r="X26" s="2">
        <f t="shared" si="10"/>
        <v>13942.344036307739</v>
      </c>
      <c r="Y26" s="2"/>
      <c r="Z26" s="6">
        <f t="shared" si="11"/>
        <v>0.23663451973711647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1011.55</v>
      </c>
      <c r="E27" s="3"/>
      <c r="F27" s="8">
        <f t="shared" si="4"/>
        <v>3.3309920399317301E-2</v>
      </c>
      <c r="G27" s="3"/>
      <c r="H27" s="7">
        <v>1018.96295301923</v>
      </c>
      <c r="I27" s="3"/>
      <c r="J27" s="8">
        <f t="shared" si="5"/>
        <v>2.547407382548075E-2</v>
      </c>
      <c r="K27" s="3"/>
      <c r="L27" s="7">
        <f t="shared" si="6"/>
        <v>-7.4129530192300308</v>
      </c>
      <c r="M27" s="3"/>
      <c r="N27" s="8">
        <f t="shared" si="7"/>
        <v>-7.2749975818700175E-3</v>
      </c>
      <c r="O27" s="12"/>
      <c r="P27" s="7">
        <v>12192.74</v>
      </c>
      <c r="Q27" s="3"/>
      <c r="R27" s="8">
        <f t="shared" si="8"/>
        <v>6.2526086210711693E-2</v>
      </c>
      <c r="S27" s="3"/>
      <c r="T27" s="7">
        <v>10316.9127544615</v>
      </c>
      <c r="U27" s="3"/>
      <c r="V27" s="8">
        <f t="shared" si="9"/>
        <v>2.9199085145505618E-2</v>
      </c>
      <c r="W27" s="3"/>
      <c r="X27" s="7">
        <f t="shared" si="10"/>
        <v>1875.8272455384995</v>
      </c>
      <c r="Y27" s="3"/>
      <c r="Z27" s="8">
        <f t="shared" si="11"/>
        <v>0.18182059790389396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180.65</v>
      </c>
      <c r="E28" s="3"/>
      <c r="F28" s="8">
        <f t="shared" si="4"/>
        <v>5.9487292967591032E-3</v>
      </c>
      <c r="G28" s="3"/>
      <c r="H28" s="7">
        <v>207.70706999999999</v>
      </c>
      <c r="I28" s="3"/>
      <c r="J28" s="8">
        <f t="shared" si="5"/>
        <v>5.1926767499999998E-3</v>
      </c>
      <c r="K28" s="3"/>
      <c r="L28" s="7">
        <f t="shared" si="6"/>
        <v>-27.057069999999982</v>
      </c>
      <c r="M28" s="3"/>
      <c r="N28" s="8">
        <f t="shared" si="7"/>
        <v>-0.13026552249762122</v>
      </c>
      <c r="O28" s="12"/>
      <c r="P28" s="7">
        <v>2715.78</v>
      </c>
      <c r="Q28" s="3"/>
      <c r="R28" s="8">
        <f t="shared" si="8"/>
        <v>1.3926901944052496E-2</v>
      </c>
      <c r="S28" s="3"/>
      <c r="T28" s="7">
        <v>2109.5683199999999</v>
      </c>
      <c r="U28" s="3"/>
      <c r="V28" s="8">
        <f t="shared" si="9"/>
        <v>5.9705327031387085E-3</v>
      </c>
      <c r="W28" s="3"/>
      <c r="X28" s="7">
        <f t="shared" si="10"/>
        <v>606.21168000000034</v>
      </c>
      <c r="Y28" s="3"/>
      <c r="Z28" s="8">
        <f t="shared" si="11"/>
        <v>0.28736290465340342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1287</v>
      </c>
      <c r="E29" s="3"/>
      <c r="F29" s="8">
        <f t="shared" si="4"/>
        <v>4.2380374231547002E-2</v>
      </c>
      <c r="G29" s="3"/>
      <c r="H29" s="7">
        <v>1326</v>
      </c>
      <c r="I29" s="3"/>
      <c r="J29" s="8">
        <f t="shared" si="5"/>
        <v>3.3149999999999999E-2</v>
      </c>
      <c r="K29" s="3"/>
      <c r="L29" s="7">
        <f t="shared" si="6"/>
        <v>-39</v>
      </c>
      <c r="M29" s="3"/>
      <c r="N29" s="8">
        <f t="shared" si="7"/>
        <v>-2.9411764705882353E-2</v>
      </c>
      <c r="O29" s="12"/>
      <c r="P29" s="7">
        <v>23034.02</v>
      </c>
      <c r="Q29" s="3"/>
      <c r="R29" s="8">
        <f t="shared" si="8"/>
        <v>0.11812169539408349</v>
      </c>
      <c r="S29" s="3"/>
      <c r="T29" s="7">
        <v>18202.5</v>
      </c>
      <c r="U29" s="3"/>
      <c r="V29" s="8">
        <f t="shared" si="9"/>
        <v>5.1516995443353239E-2</v>
      </c>
      <c r="W29" s="3"/>
      <c r="X29" s="7">
        <f t="shared" si="10"/>
        <v>4831.5200000000004</v>
      </c>
      <c r="Y29" s="3"/>
      <c r="Z29" s="8">
        <f t="shared" si="11"/>
        <v>0.26543167147369867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31.74</v>
      </c>
      <c r="E30" s="3"/>
      <c r="F30" s="8">
        <f t="shared" si="4"/>
        <v>1.0451849868759143E-3</v>
      </c>
      <c r="G30" s="3"/>
      <c r="H30" s="7">
        <v>27.960567115384599</v>
      </c>
      <c r="I30" s="3"/>
      <c r="J30" s="8">
        <f t="shared" si="5"/>
        <v>6.99014177884615E-4</v>
      </c>
      <c r="K30" s="3"/>
      <c r="L30" s="7">
        <f t="shared" si="6"/>
        <v>3.7794328846153995</v>
      </c>
      <c r="M30" s="3"/>
      <c r="N30" s="8">
        <f t="shared" si="7"/>
        <v>0.1351701082820978</v>
      </c>
      <c r="O30" s="12"/>
      <c r="P30" s="7">
        <v>477.1</v>
      </c>
      <c r="Q30" s="3"/>
      <c r="R30" s="8">
        <f t="shared" si="8"/>
        <v>2.446635926881944E-3</v>
      </c>
      <c r="S30" s="3"/>
      <c r="T30" s="7">
        <v>283.98035076923099</v>
      </c>
      <c r="U30" s="3"/>
      <c r="V30" s="8">
        <f t="shared" si="9"/>
        <v>8.0372555619174992E-4</v>
      </c>
      <c r="W30" s="3"/>
      <c r="X30" s="7">
        <f t="shared" si="10"/>
        <v>193.11964923076903</v>
      </c>
      <c r="Y30" s="3"/>
      <c r="Z30" s="8">
        <f t="shared" si="11"/>
        <v>0.68004581552088628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1140.55</v>
      </c>
      <c r="E31" s="3"/>
      <c r="F31" s="8">
        <f t="shared" si="4"/>
        <v>3.7557836697584251E-2</v>
      </c>
      <c r="G31" s="3"/>
      <c r="H31" s="7">
        <v>953.51259615384697</v>
      </c>
      <c r="I31" s="3"/>
      <c r="J31" s="8">
        <f t="shared" si="5"/>
        <v>2.3837814903846174E-2</v>
      </c>
      <c r="K31" s="3"/>
      <c r="L31" s="7">
        <f t="shared" si="6"/>
        <v>187.03740384615298</v>
      </c>
      <c r="M31" s="3"/>
      <c r="N31" s="8">
        <f t="shared" si="7"/>
        <v>0.19615619615367405</v>
      </c>
      <c r="O31" s="12"/>
      <c r="P31" s="7">
        <v>15225.87</v>
      </c>
      <c r="Q31" s="3"/>
      <c r="R31" s="8">
        <f t="shared" si="8"/>
        <v>7.8080403605185464E-2</v>
      </c>
      <c r="S31" s="3"/>
      <c r="T31" s="7">
        <v>10208.504307692299</v>
      </c>
      <c r="U31" s="3"/>
      <c r="V31" s="8">
        <f t="shared" si="9"/>
        <v>2.8892265892203603E-2</v>
      </c>
      <c r="W31" s="3"/>
      <c r="X31" s="7">
        <f t="shared" si="10"/>
        <v>5017.3656923077015</v>
      </c>
      <c r="Y31" s="3"/>
      <c r="Z31" s="8">
        <f t="shared" si="11"/>
        <v>0.49148881570506098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4"/>
        <v>0</v>
      </c>
      <c r="G32" s="3"/>
      <c r="H32" s="7">
        <v>0</v>
      </c>
      <c r="I32" s="3"/>
      <c r="J32" s="8">
        <f t="shared" si="5"/>
        <v>0</v>
      </c>
      <c r="K32" s="3"/>
      <c r="L32" s="7">
        <f t="shared" si="6"/>
        <v>0</v>
      </c>
      <c r="M32" s="3"/>
      <c r="N32" s="8">
        <f t="shared" si="7"/>
        <v>0</v>
      </c>
      <c r="O32" s="12"/>
      <c r="P32" s="7"/>
      <c r="Q32" s="3"/>
      <c r="R32" s="8">
        <f t="shared" si="8"/>
        <v>0</v>
      </c>
      <c r="S32" s="3"/>
      <c r="T32" s="7">
        <v>0</v>
      </c>
      <c r="U32" s="3"/>
      <c r="V32" s="8">
        <f t="shared" si="9"/>
        <v>0</v>
      </c>
      <c r="W32" s="3"/>
      <c r="X32" s="7">
        <f t="shared" si="10"/>
        <v>0</v>
      </c>
      <c r="Y32" s="3"/>
      <c r="Z32" s="8">
        <f t="shared" si="11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7">
        <v>976.7</v>
      </c>
      <c r="E33" s="3"/>
      <c r="F33" s="8">
        <f t="shared" si="4"/>
        <v>3.216232440711108E-2</v>
      </c>
      <c r="G33" s="3"/>
      <c r="H33" s="7">
        <v>776.11490384615502</v>
      </c>
      <c r="I33" s="3"/>
      <c r="J33" s="8">
        <f t="shared" si="5"/>
        <v>1.9402872596153874E-2</v>
      </c>
      <c r="K33" s="3"/>
      <c r="L33" s="7">
        <f t="shared" si="6"/>
        <v>200.58509615384503</v>
      </c>
      <c r="M33" s="3"/>
      <c r="N33" s="8">
        <f t="shared" si="7"/>
        <v>0.25844767979562716</v>
      </c>
      <c r="O33" s="12"/>
      <c r="P33" s="7">
        <v>8501.89</v>
      </c>
      <c r="Q33" s="3"/>
      <c r="R33" s="8">
        <f t="shared" si="8"/>
        <v>4.359888811653391E-2</v>
      </c>
      <c r="S33" s="3"/>
      <c r="T33" s="7">
        <v>8943.2919230769203</v>
      </c>
      <c r="U33" s="3"/>
      <c r="V33" s="8">
        <f t="shared" si="9"/>
        <v>2.5311442343069993E-2</v>
      </c>
      <c r="W33" s="3"/>
      <c r="X33" s="7">
        <f t="shared" si="10"/>
        <v>-441.40192307692087</v>
      </c>
      <c r="Y33" s="3"/>
      <c r="Z33" s="8">
        <f t="shared" si="11"/>
        <v>-4.9355642963855917E-2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7">
        <v>616.59</v>
      </c>
      <c r="E34" s="3"/>
      <c r="F34" s="8">
        <f t="shared" si="4"/>
        <v>2.0304052018204791E-2</v>
      </c>
      <c r="G34" s="3"/>
      <c r="H34" s="7">
        <v>399.436673076923</v>
      </c>
      <c r="I34" s="3"/>
      <c r="J34" s="8">
        <f t="shared" si="5"/>
        <v>9.9859168269230743E-3</v>
      </c>
      <c r="K34" s="3"/>
      <c r="L34" s="7">
        <f t="shared" si="6"/>
        <v>217.15332692307703</v>
      </c>
      <c r="M34" s="3"/>
      <c r="N34" s="8">
        <f t="shared" si="7"/>
        <v>0.54364894752980764</v>
      </c>
      <c r="O34" s="12"/>
      <c r="P34" s="7">
        <v>6403.37</v>
      </c>
      <c r="Q34" s="3"/>
      <c r="R34" s="8">
        <f t="shared" si="8"/>
        <v>3.2837382299555719E-2</v>
      </c>
      <c r="S34" s="3"/>
      <c r="T34" s="7">
        <v>4479.5583076923103</v>
      </c>
      <c r="U34" s="3"/>
      <c r="V34" s="8">
        <f t="shared" si="9"/>
        <v>1.2678114815306682E-2</v>
      </c>
      <c r="W34" s="3"/>
      <c r="X34" s="7">
        <f t="shared" si="10"/>
        <v>1923.8116923076896</v>
      </c>
      <c r="Y34" s="3"/>
      <c r="Z34" s="8">
        <f t="shared" si="11"/>
        <v>0.42946459453471442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7">
        <v>448.13</v>
      </c>
      <c r="E35" s="3"/>
      <c r="F35" s="8">
        <f t="shared" si="4"/>
        <v>1.4756734346840059E-2</v>
      </c>
      <c r="G35" s="3"/>
      <c r="H35" s="7">
        <v>350</v>
      </c>
      <c r="I35" s="3"/>
      <c r="J35" s="8">
        <f t="shared" si="5"/>
        <v>8.7500000000000008E-3</v>
      </c>
      <c r="K35" s="3"/>
      <c r="L35" s="7">
        <f t="shared" si="6"/>
        <v>98.13</v>
      </c>
      <c r="M35" s="3"/>
      <c r="N35" s="8">
        <f t="shared" si="7"/>
        <v>0.28037142857142855</v>
      </c>
      <c r="O35" s="12"/>
      <c r="P35" s="7">
        <v>4310.8900000000003</v>
      </c>
      <c r="Q35" s="3"/>
      <c r="R35" s="8">
        <f t="shared" si="8"/>
        <v>2.210685045239175E-2</v>
      </c>
      <c r="S35" s="3"/>
      <c r="T35" s="7">
        <v>4375</v>
      </c>
      <c r="U35" s="3"/>
      <c r="V35" s="8">
        <f t="shared" si="9"/>
        <v>1.2382192284832876E-2</v>
      </c>
      <c r="W35" s="3"/>
      <c r="X35" s="7">
        <f t="shared" si="10"/>
        <v>-64.109999999999673</v>
      </c>
      <c r="Y35" s="3"/>
      <c r="Z35" s="8">
        <f t="shared" si="11"/>
        <v>-1.4653714285714211E-2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14795.57</v>
      </c>
      <c r="E36" s="2"/>
      <c r="F36" s="6">
        <f t="shared" si="4"/>
        <v>0.48721196081511253</v>
      </c>
      <c r="G36" s="2"/>
      <c r="H36" s="2">
        <f>SUM(OSRRefH22_1x_0)</f>
        <v>12299.036192307709</v>
      </c>
      <c r="I36" s="2"/>
      <c r="J36" s="6">
        <f t="shared" si="5"/>
        <v>0.30747590480769271</v>
      </c>
      <c r="K36" s="2"/>
      <c r="L36" s="2">
        <f t="shared" si="6"/>
        <v>2496.5338076922908</v>
      </c>
      <c r="M36" s="2"/>
      <c r="N36" s="6">
        <f t="shared" si="7"/>
        <v>0.2029861339259835</v>
      </c>
      <c r="O36" s="14"/>
      <c r="P36" s="2">
        <f>SUM(OSRRefP22_1x_0)</f>
        <v>141656.26</v>
      </c>
      <c r="Q36" s="2"/>
      <c r="R36" s="6">
        <f t="shared" si="8"/>
        <v>0.72643323199272614</v>
      </c>
      <c r="S36" s="2"/>
      <c r="T36" s="2">
        <f>SUM(OSRRefT22_1x_0)</f>
        <v>122933.360230769</v>
      </c>
      <c r="U36" s="2"/>
      <c r="V36" s="6">
        <f t="shared" si="9"/>
        <v>0.3479278867652591</v>
      </c>
      <c r="W36" s="2"/>
      <c r="X36" s="2">
        <f t="shared" si="10"/>
        <v>18722.899769231008</v>
      </c>
      <c r="Y36" s="2"/>
      <c r="Z36" s="6">
        <f t="shared" si="11"/>
        <v>0.15230121208827782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7"/>
      <c r="E37" s="3"/>
      <c r="F37" s="8">
        <f t="shared" si="4"/>
        <v>0</v>
      </c>
      <c r="G37" s="3"/>
      <c r="H37" s="7">
        <v>0</v>
      </c>
      <c r="I37" s="3"/>
      <c r="J37" s="8">
        <f t="shared" si="5"/>
        <v>0</v>
      </c>
      <c r="K37" s="3"/>
      <c r="L37" s="7">
        <f t="shared" si="6"/>
        <v>0</v>
      </c>
      <c r="M37" s="3"/>
      <c r="N37" s="8">
        <f t="shared" si="7"/>
        <v>0</v>
      </c>
      <c r="O37" s="12"/>
      <c r="P37" s="7"/>
      <c r="Q37" s="3"/>
      <c r="R37" s="8">
        <f t="shared" si="8"/>
        <v>0</v>
      </c>
      <c r="S37" s="3"/>
      <c r="T37" s="7">
        <v>0</v>
      </c>
      <c r="U37" s="3"/>
      <c r="V37" s="8">
        <f t="shared" si="9"/>
        <v>0</v>
      </c>
      <c r="W37" s="3"/>
      <c r="X37" s="7">
        <f t="shared" si="10"/>
        <v>0</v>
      </c>
      <c r="Y37" s="3"/>
      <c r="Z37" s="8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7">
        <v>10626.39</v>
      </c>
      <c r="E38" s="3"/>
      <c r="F38" s="8">
        <f t="shared" si="4"/>
        <v>0.34992259901349548</v>
      </c>
      <c r="G38" s="3"/>
      <c r="H38" s="7">
        <v>9978.6201923077097</v>
      </c>
      <c r="I38" s="3"/>
      <c r="J38" s="8">
        <f t="shared" si="5"/>
        <v>0.24946550480769275</v>
      </c>
      <c r="K38" s="3"/>
      <c r="L38" s="7">
        <f t="shared" si="6"/>
        <v>647.76980769228976</v>
      </c>
      <c r="M38" s="3"/>
      <c r="N38" s="8">
        <f t="shared" si="7"/>
        <v>6.4915769435902645E-2</v>
      </c>
      <c r="O38" s="12"/>
      <c r="P38" s="7">
        <v>113663.81</v>
      </c>
      <c r="Q38" s="3"/>
      <c r="R38" s="8">
        <f t="shared" si="8"/>
        <v>0.58288400991884959</v>
      </c>
      <c r="S38" s="3"/>
      <c r="T38" s="7">
        <v>105776.444230769</v>
      </c>
      <c r="U38" s="3"/>
      <c r="V38" s="8">
        <f t="shared" si="9"/>
        <v>0.29937011923915036</v>
      </c>
      <c r="W38" s="3"/>
      <c r="X38" s="7">
        <f t="shared" si="10"/>
        <v>7887.3657692309935</v>
      </c>
      <c r="Y38" s="3"/>
      <c r="Z38" s="8">
        <f t="shared" si="11"/>
        <v>7.4566372755198562E-2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7"/>
      <c r="E39" s="3"/>
      <c r="F39" s="8">
        <f t="shared" si="4"/>
        <v>0</v>
      </c>
      <c r="G39" s="3"/>
      <c r="H39" s="7">
        <v>0</v>
      </c>
      <c r="I39" s="3"/>
      <c r="J39" s="8">
        <f t="shared" si="5"/>
        <v>0</v>
      </c>
      <c r="K39" s="3"/>
      <c r="L39" s="7">
        <f t="shared" si="6"/>
        <v>0</v>
      </c>
      <c r="M39" s="3"/>
      <c r="N39" s="8">
        <f t="shared" si="7"/>
        <v>0</v>
      </c>
      <c r="O39" s="12"/>
      <c r="P39" s="7"/>
      <c r="Q39" s="3"/>
      <c r="R39" s="8">
        <f t="shared" si="8"/>
        <v>0</v>
      </c>
      <c r="S39" s="3"/>
      <c r="T39" s="7">
        <v>0</v>
      </c>
      <c r="U39" s="3"/>
      <c r="V39" s="8">
        <f t="shared" si="9"/>
        <v>0</v>
      </c>
      <c r="W39" s="3"/>
      <c r="X39" s="7">
        <f t="shared" si="10"/>
        <v>0</v>
      </c>
      <c r="Y39" s="3"/>
      <c r="Z39" s="8">
        <f t="shared" si="11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7"/>
      <c r="E40" s="3"/>
      <c r="F40" s="8">
        <f t="shared" si="4"/>
        <v>0</v>
      </c>
      <c r="G40" s="3"/>
      <c r="H40" s="7">
        <v>1386</v>
      </c>
      <c r="I40" s="3"/>
      <c r="J40" s="8">
        <f t="shared" si="5"/>
        <v>3.465E-2</v>
      </c>
      <c r="K40" s="3"/>
      <c r="L40" s="7">
        <f t="shared" si="6"/>
        <v>-1386</v>
      </c>
      <c r="M40" s="3"/>
      <c r="N40" s="8">
        <f t="shared" si="7"/>
        <v>-1</v>
      </c>
      <c r="O40" s="12"/>
      <c r="P40" s="7"/>
      <c r="Q40" s="3"/>
      <c r="R40" s="8">
        <f t="shared" si="8"/>
        <v>0</v>
      </c>
      <c r="S40" s="3"/>
      <c r="T40" s="7">
        <v>7137.9</v>
      </c>
      <c r="U40" s="3"/>
      <c r="V40" s="8">
        <f t="shared" si="9"/>
        <v>2.0201794356550531E-2</v>
      </c>
      <c r="W40" s="3"/>
      <c r="X40" s="7">
        <f t="shared" si="10"/>
        <v>-7137.9</v>
      </c>
      <c r="Y40" s="3"/>
      <c r="Z40" s="8">
        <f t="shared" si="11"/>
        <v>-1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7"/>
      <c r="E41" s="3"/>
      <c r="F41" s="8">
        <f t="shared" si="4"/>
        <v>0</v>
      </c>
      <c r="G41" s="3"/>
      <c r="H41" s="7">
        <v>0</v>
      </c>
      <c r="I41" s="3"/>
      <c r="J41" s="8">
        <f t="shared" si="5"/>
        <v>0</v>
      </c>
      <c r="K41" s="3"/>
      <c r="L41" s="7">
        <f t="shared" si="6"/>
        <v>0</v>
      </c>
      <c r="M41" s="3"/>
      <c r="N41" s="8">
        <f t="shared" si="7"/>
        <v>0</v>
      </c>
      <c r="O41" s="12"/>
      <c r="P41" s="7"/>
      <c r="Q41" s="3"/>
      <c r="R41" s="8">
        <f t="shared" si="8"/>
        <v>0</v>
      </c>
      <c r="S41" s="3"/>
      <c r="T41" s="7">
        <v>0</v>
      </c>
      <c r="U41" s="3"/>
      <c r="V41" s="8">
        <f t="shared" si="9"/>
        <v>0</v>
      </c>
      <c r="W41" s="3"/>
      <c r="X41" s="7">
        <f t="shared" si="10"/>
        <v>0</v>
      </c>
      <c r="Y41" s="3"/>
      <c r="Z41" s="8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7">
        <v>3416.93</v>
      </c>
      <c r="E43" s="3"/>
      <c r="F43" s="8">
        <f t="shared" si="4"/>
        <v>0.11251808245765337</v>
      </c>
      <c r="G43" s="3"/>
      <c r="H43" s="7">
        <v>934.41600000000005</v>
      </c>
      <c r="I43" s="3"/>
      <c r="J43" s="8">
        <f t="shared" si="5"/>
        <v>2.33604E-2</v>
      </c>
      <c r="K43" s="3"/>
      <c r="L43" s="7">
        <f t="shared" si="6"/>
        <v>2482.5139999999997</v>
      </c>
      <c r="M43" s="3"/>
      <c r="N43" s="8">
        <f t="shared" si="7"/>
        <v>2.6567545932432659</v>
      </c>
      <c r="O43" s="12"/>
      <c r="P43" s="7">
        <v>27240.2</v>
      </c>
      <c r="Q43" s="3"/>
      <c r="R43" s="8">
        <f t="shared" si="8"/>
        <v>0.13969157823401704</v>
      </c>
      <c r="S43" s="3"/>
      <c r="T43" s="7">
        <v>9586.4159999999993</v>
      </c>
      <c r="U43" s="3"/>
      <c r="V43" s="8">
        <f t="shared" si="9"/>
        <v>2.7131621996433927E-2</v>
      </c>
      <c r="W43" s="3"/>
      <c r="X43" s="7">
        <f t="shared" si="10"/>
        <v>17653.784</v>
      </c>
      <c r="Y43" s="3"/>
      <c r="Z43" s="8">
        <f t="shared" si="11"/>
        <v>1.8415416147181596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7">
        <v>752.25</v>
      </c>
      <c r="E44" s="3"/>
      <c r="F44" s="8">
        <f t="shared" si="4"/>
        <v>2.477127934396366E-2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752.25</v>
      </c>
      <c r="M44" s="3"/>
      <c r="N44" s="8">
        <f t="shared" si="7"/>
        <v>0</v>
      </c>
      <c r="O44" s="12"/>
      <c r="P44" s="7">
        <v>752.25</v>
      </c>
      <c r="Q44" s="3"/>
      <c r="R44" s="8">
        <f t="shared" si="8"/>
        <v>3.8576438398594472E-3</v>
      </c>
      <c r="S44" s="3"/>
      <c r="T44" s="7">
        <v>432.6</v>
      </c>
      <c r="U44" s="3"/>
      <c r="V44" s="8">
        <f t="shared" si="9"/>
        <v>1.2243511731242747E-3</v>
      </c>
      <c r="W44" s="3"/>
      <c r="X44" s="7">
        <f t="shared" si="10"/>
        <v>319.64999999999998</v>
      </c>
      <c r="Y44" s="3"/>
      <c r="Z44" s="8">
        <f t="shared" si="11"/>
        <v>0.73890429958391113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7"/>
      <c r="E45" s="3"/>
      <c r="F45" s="8">
        <f t="shared" si="4"/>
        <v>0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0</v>
      </c>
      <c r="M45" s="3"/>
      <c r="N45" s="8">
        <f t="shared" si="7"/>
        <v>0</v>
      </c>
      <c r="O45" s="12"/>
      <c r="P45" s="7"/>
      <c r="Q45" s="3"/>
      <c r="R45" s="8">
        <f t="shared" si="8"/>
        <v>0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0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7"/>
      <c r="E46" s="3"/>
      <c r="F46" s="8">
        <f t="shared" si="4"/>
        <v>0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0</v>
      </c>
      <c r="M46" s="3"/>
      <c r="N46" s="8">
        <f t="shared" si="7"/>
        <v>0</v>
      </c>
      <c r="O46" s="12"/>
      <c r="P46" s="7"/>
      <c r="Q46" s="3"/>
      <c r="R46" s="8">
        <f t="shared" si="8"/>
        <v>0</v>
      </c>
      <c r="S46" s="3"/>
      <c r="T46" s="7">
        <v>0</v>
      </c>
      <c r="U46" s="3"/>
      <c r="V46" s="8">
        <f t="shared" si="9"/>
        <v>0</v>
      </c>
      <c r="W46" s="3"/>
      <c r="X46" s="7">
        <f t="shared" si="10"/>
        <v>0</v>
      </c>
      <c r="Y46" s="3"/>
      <c r="Z46" s="8">
        <f t="shared" si="11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50</v>
      </c>
      <c r="I47" s="2"/>
      <c r="J47" s="6">
        <f t="shared" si="5"/>
        <v>1.25E-3</v>
      </c>
      <c r="K47" s="2"/>
      <c r="L47" s="2">
        <f t="shared" si="6"/>
        <v>-50</v>
      </c>
      <c r="M47" s="2"/>
      <c r="N47" s="6">
        <f t="shared" si="7"/>
        <v>-1</v>
      </c>
      <c r="O47" s="14"/>
      <c r="P47" s="2">
        <f>SUM(OSRRefP22_2x_0)</f>
        <v>151.85</v>
      </c>
      <c r="Q47" s="2"/>
      <c r="R47" s="6">
        <f t="shared" si="8"/>
        <v>7.7870816494869665E-4</v>
      </c>
      <c r="S47" s="2"/>
      <c r="T47" s="2">
        <f>SUM(OSRRefT22_2x_0)</f>
        <v>500</v>
      </c>
      <c r="U47" s="2"/>
      <c r="V47" s="6">
        <f t="shared" si="9"/>
        <v>1.4151076896951858E-3</v>
      </c>
      <c r="W47" s="2"/>
      <c r="X47" s="2">
        <f t="shared" si="10"/>
        <v>-348.15</v>
      </c>
      <c r="Y47" s="2"/>
      <c r="Z47" s="6">
        <f t="shared" si="11"/>
        <v>-0.69629999999999992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7"/>
      <c r="E48" s="3"/>
      <c r="F48" s="8">
        <f t="shared" si="4"/>
        <v>0</v>
      </c>
      <c r="G48" s="3"/>
      <c r="H48" s="7">
        <v>50</v>
      </c>
      <c r="I48" s="3"/>
      <c r="J48" s="8">
        <f t="shared" si="5"/>
        <v>1.25E-3</v>
      </c>
      <c r="K48" s="3"/>
      <c r="L48" s="7">
        <f t="shared" si="6"/>
        <v>-50</v>
      </c>
      <c r="M48" s="3"/>
      <c r="N48" s="8">
        <f t="shared" si="7"/>
        <v>-1</v>
      </c>
      <c r="O48" s="12"/>
      <c r="P48" s="7">
        <v>151.85</v>
      </c>
      <c r="Q48" s="3"/>
      <c r="R48" s="8">
        <f t="shared" si="8"/>
        <v>7.7870816494869665E-4</v>
      </c>
      <c r="S48" s="3"/>
      <c r="T48" s="7">
        <v>500</v>
      </c>
      <c r="U48" s="3"/>
      <c r="V48" s="8">
        <f t="shared" si="9"/>
        <v>1.4151076896951858E-3</v>
      </c>
      <c r="W48" s="3"/>
      <c r="X48" s="7">
        <f t="shared" si="10"/>
        <v>-348.15</v>
      </c>
      <c r="Y48" s="3"/>
      <c r="Z48" s="8">
        <f t="shared" si="11"/>
        <v>-0.69629999999999992</v>
      </c>
    </row>
    <row r="49" spans="1:26" s="69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5.5940776802293739E-3</v>
      </c>
      <c r="G49" s="2"/>
      <c r="H49" s="2">
        <f>SUM(OSRRefH22_3x_0)</f>
        <v>170</v>
      </c>
      <c r="I49" s="2"/>
      <c r="J49" s="6">
        <f t="shared" si="5"/>
        <v>4.2500000000000003E-3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1698.8</v>
      </c>
      <c r="Q49" s="2"/>
      <c r="R49" s="6">
        <f t="shared" si="8"/>
        <v>8.7116854172857808E-3</v>
      </c>
      <c r="S49" s="2"/>
      <c r="T49" s="2">
        <f>SUM(OSRRefT22_3x_0)</f>
        <v>1700</v>
      </c>
      <c r="U49" s="2"/>
      <c r="V49" s="6">
        <f t="shared" si="9"/>
        <v>4.8113661449636315E-3</v>
      </c>
      <c r="W49" s="2"/>
      <c r="X49" s="2">
        <f t="shared" si="10"/>
        <v>-1.2000000000000455</v>
      </c>
      <c r="Y49" s="2"/>
      <c r="Z49" s="6">
        <f t="shared" si="11"/>
        <v>-7.0588235294120319E-4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169.88</v>
      </c>
      <c r="E50" s="3"/>
      <c r="F50" s="8">
        <f t="shared" si="4"/>
        <v>5.5940776802293739E-3</v>
      </c>
      <c r="G50" s="3"/>
      <c r="H50" s="7">
        <v>170</v>
      </c>
      <c r="I50" s="3"/>
      <c r="J50" s="8">
        <f t="shared" si="5"/>
        <v>4.2500000000000003E-3</v>
      </c>
      <c r="K50" s="3"/>
      <c r="L50" s="7">
        <f t="shared" si="6"/>
        <v>-0.12000000000000455</v>
      </c>
      <c r="M50" s="3"/>
      <c r="N50" s="8">
        <f t="shared" si="7"/>
        <v>-7.0588235294120319E-4</v>
      </c>
      <c r="O50" s="12"/>
      <c r="P50" s="7">
        <v>1698.8</v>
      </c>
      <c r="Q50" s="3"/>
      <c r="R50" s="8">
        <f t="shared" si="8"/>
        <v>8.7116854172857808E-3</v>
      </c>
      <c r="S50" s="3"/>
      <c r="T50" s="7">
        <v>1700</v>
      </c>
      <c r="U50" s="3"/>
      <c r="V50" s="8">
        <f t="shared" si="9"/>
        <v>4.8113661449636315E-3</v>
      </c>
      <c r="W50" s="3"/>
      <c r="X50" s="7">
        <f t="shared" si="10"/>
        <v>-1.2000000000000455</v>
      </c>
      <c r="Y50" s="3"/>
      <c r="Z50" s="8">
        <f t="shared" si="11"/>
        <v>-7.0588235294120319E-4</v>
      </c>
    </row>
    <row r="51" spans="1:26" s="69" customFormat="1" ht="15" customHeight="1" outlineLevel="1" collapsed="1" x14ac:dyDescent="0.3">
      <c r="A51" s="25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3.9701223301105149E-2</v>
      </c>
      <c r="G51" s="2"/>
      <c r="H51" s="2">
        <f>SUM(OSRRefH22_4x_0)</f>
        <v>1300</v>
      </c>
      <c r="I51" s="2"/>
      <c r="J51" s="6">
        <f t="shared" si="5"/>
        <v>3.2500000000000001E-2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12147.66</v>
      </c>
      <c r="Q51" s="2"/>
      <c r="R51" s="6">
        <f t="shared" si="8"/>
        <v>6.2294909628058504E-2</v>
      </c>
      <c r="S51" s="2"/>
      <c r="T51" s="2">
        <f>SUM(OSRRefT22_4x_0)</f>
        <v>12800</v>
      </c>
      <c r="U51" s="2"/>
      <c r="V51" s="6">
        <f t="shared" si="9"/>
        <v>3.6226756856196758E-2</v>
      </c>
      <c r="W51" s="2"/>
      <c r="X51" s="2">
        <f t="shared" si="10"/>
        <v>-652.34000000000015</v>
      </c>
      <c r="Y51" s="2"/>
      <c r="Z51" s="6">
        <f t="shared" si="11"/>
        <v>-5.0964062500000011E-2</v>
      </c>
    </row>
    <row r="52" spans="1:26" s="70" customFormat="1" ht="15" hidden="1" customHeight="1" outlineLevel="2" x14ac:dyDescent="0.3">
      <c r="A52" s="26"/>
      <c r="B52" s="12" t="str">
        <f>CONCATENATE("          ","6351"," - ","EQUIPMENT RENTAL")</f>
        <v xml:space="preserve">          6351 - EQUIPMENT RENTAL</v>
      </c>
      <c r="C52" s="12"/>
      <c r="D52" s="7">
        <v>1205.6400000000001</v>
      </c>
      <c r="E52" s="3"/>
      <c r="F52" s="8">
        <f t="shared" si="4"/>
        <v>3.9701223301105149E-2</v>
      </c>
      <c r="G52" s="3"/>
      <c r="H52" s="7">
        <v>1300</v>
      </c>
      <c r="I52" s="3"/>
      <c r="J52" s="8">
        <f t="shared" si="5"/>
        <v>3.2500000000000001E-2</v>
      </c>
      <c r="K52" s="3"/>
      <c r="L52" s="7">
        <f t="shared" si="6"/>
        <v>-94.3599999999999</v>
      </c>
      <c r="M52" s="3"/>
      <c r="N52" s="8">
        <f t="shared" si="7"/>
        <v>-7.2584615384615303E-2</v>
      </c>
      <c r="O52" s="12"/>
      <c r="P52" s="7">
        <v>12147.66</v>
      </c>
      <c r="Q52" s="3"/>
      <c r="R52" s="8">
        <f t="shared" si="8"/>
        <v>6.2294909628058504E-2</v>
      </c>
      <c r="S52" s="3"/>
      <c r="T52" s="7">
        <v>12800</v>
      </c>
      <c r="U52" s="3"/>
      <c r="V52" s="8">
        <f t="shared" si="9"/>
        <v>3.6226756856196758E-2</v>
      </c>
      <c r="W52" s="3"/>
      <c r="X52" s="7">
        <f t="shared" si="10"/>
        <v>-652.34000000000015</v>
      </c>
      <c r="Y52" s="3"/>
      <c r="Z52" s="8">
        <f t="shared" si="11"/>
        <v>-5.0964062500000011E-2</v>
      </c>
    </row>
    <row r="53" spans="1:26" s="69" customFormat="1" ht="15" customHeight="1" outlineLevel="1" collapsed="1" x14ac:dyDescent="0.3">
      <c r="A53" s="25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-6034.4100000000008</v>
      </c>
      <c r="E53" s="2"/>
      <c r="F53" s="6">
        <f t="shared" si="4"/>
        <v>-0.1987106092203493</v>
      </c>
      <c r="G53" s="2"/>
      <c r="H53" s="2">
        <f>SUM(OSRRefH22_5x_0)</f>
        <v>-3000</v>
      </c>
      <c r="I53" s="2"/>
      <c r="J53" s="6">
        <f t="shared" si="5"/>
        <v>-7.4999999999999997E-2</v>
      </c>
      <c r="K53" s="2"/>
      <c r="L53" s="2">
        <f t="shared" si="6"/>
        <v>-3034.4100000000008</v>
      </c>
      <c r="M53" s="2"/>
      <c r="N53" s="6">
        <f t="shared" si="7"/>
        <v>1.0114700000000003</v>
      </c>
      <c r="O53" s="14"/>
      <c r="P53" s="2">
        <f>SUM(OSRRefP22_5x_0)</f>
        <v>-68634.239999999991</v>
      </c>
      <c r="Q53" s="2"/>
      <c r="R53" s="6">
        <f t="shared" si="8"/>
        <v>-0.35196603940104332</v>
      </c>
      <c r="S53" s="2"/>
      <c r="T53" s="2">
        <f>SUM(OSRRefT22_5x_0)</f>
        <v>-29700</v>
      </c>
      <c r="U53" s="2"/>
      <c r="V53" s="6">
        <f t="shared" si="9"/>
        <v>-8.4057396767894033E-2</v>
      </c>
      <c r="W53" s="2"/>
      <c r="X53" s="2">
        <f t="shared" si="10"/>
        <v>-38934.239999999991</v>
      </c>
      <c r="Y53" s="2"/>
      <c r="Z53" s="6">
        <f t="shared" si="11"/>
        <v>1.3109171717171715</v>
      </c>
    </row>
    <row r="54" spans="1:26" s="70" customFormat="1" ht="15" hidden="1" customHeight="1" outlineLevel="2" x14ac:dyDescent="0.3">
      <c r="A54" s="26"/>
      <c r="B54" s="12" t="str">
        <f>CONCATENATE("          ","6305"," - ","FREIGHT OUT")</f>
        <v xml:space="preserve">          6305 - FREIGHT OUT</v>
      </c>
      <c r="C54" s="12"/>
      <c r="D54" s="7">
        <v>7450.71</v>
      </c>
      <c r="E54" s="3"/>
      <c r="F54" s="8">
        <f t="shared" si="4"/>
        <v>0.24534877862527549</v>
      </c>
      <c r="G54" s="3"/>
      <c r="H54" s="7">
        <v>1500</v>
      </c>
      <c r="I54" s="3"/>
      <c r="J54" s="8">
        <f t="shared" si="5"/>
        <v>3.7499999999999999E-2</v>
      </c>
      <c r="K54" s="3"/>
      <c r="L54" s="7">
        <f t="shared" si="6"/>
        <v>5950.71</v>
      </c>
      <c r="M54" s="3"/>
      <c r="N54" s="8">
        <f t="shared" si="7"/>
        <v>3.9671400000000001</v>
      </c>
      <c r="O54" s="12"/>
      <c r="P54" s="7">
        <v>113053.12</v>
      </c>
      <c r="Q54" s="3"/>
      <c r="R54" s="8">
        <f t="shared" si="8"/>
        <v>0.57975230567615932</v>
      </c>
      <c r="S54" s="3"/>
      <c r="T54" s="7">
        <v>135800</v>
      </c>
      <c r="U54" s="3"/>
      <c r="V54" s="8">
        <f t="shared" si="9"/>
        <v>0.38434324852121249</v>
      </c>
      <c r="W54" s="3"/>
      <c r="X54" s="7">
        <f t="shared" si="10"/>
        <v>-22746.880000000005</v>
      </c>
      <c r="Y54" s="3"/>
      <c r="Z54" s="8">
        <f t="shared" si="11"/>
        <v>-0.16750279823269518</v>
      </c>
    </row>
    <row r="55" spans="1:26" s="70" customFormat="1" ht="15" hidden="1" customHeight="1" outlineLevel="2" x14ac:dyDescent="0.3">
      <c r="A55" s="26"/>
      <c r="B55" s="12" t="str">
        <f>CONCATENATE("          ","6307"," - ","POSTAGE")</f>
        <v xml:space="preserve">          6307 - POSTAGE</v>
      </c>
      <c r="C55" s="12"/>
      <c r="D55" s="7">
        <v>-13485.12</v>
      </c>
      <c r="E55" s="3"/>
      <c r="F55" s="8">
        <f t="shared" si="4"/>
        <v>-0.44405938784562482</v>
      </c>
      <c r="G55" s="3"/>
      <c r="H55" s="7">
        <v>-4500</v>
      </c>
      <c r="I55" s="3"/>
      <c r="J55" s="8">
        <f t="shared" si="5"/>
        <v>-0.1125</v>
      </c>
      <c r="K55" s="3"/>
      <c r="L55" s="7">
        <f t="shared" si="6"/>
        <v>-8985.1200000000008</v>
      </c>
      <c r="M55" s="3"/>
      <c r="N55" s="8">
        <f t="shared" si="7"/>
        <v>1.9966933333333334</v>
      </c>
      <c r="O55" s="12"/>
      <c r="P55" s="7">
        <v>-181687.36</v>
      </c>
      <c r="Q55" s="3"/>
      <c r="R55" s="8">
        <f t="shared" si="8"/>
        <v>-0.93171834507720264</v>
      </c>
      <c r="S55" s="3"/>
      <c r="T55" s="7">
        <v>-165500</v>
      </c>
      <c r="U55" s="3"/>
      <c r="V55" s="8">
        <f t="shared" si="9"/>
        <v>-0.46840064528910652</v>
      </c>
      <c r="W55" s="3"/>
      <c r="X55" s="7">
        <f t="shared" si="10"/>
        <v>-16187.359999999986</v>
      </c>
      <c r="Y55" s="3"/>
      <c r="Z55" s="8">
        <f t="shared" si="11"/>
        <v>9.7808821752265782E-2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4.6825052710876188E-4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7"/>
      <c r="E57" s="3"/>
      <c r="F57" s="8">
        <f t="shared" ref="F57:F73" si="12">IF(D$12=0,0,D57/D$12)</f>
        <v>0</v>
      </c>
      <c r="G57" s="3"/>
      <c r="H57" s="7"/>
      <c r="I57" s="3"/>
      <c r="J57" s="8">
        <f t="shared" ref="J57:J73" si="13">IF(H$12=0,0,H57/H$12)</f>
        <v>0</v>
      </c>
      <c r="K57" s="3"/>
      <c r="L57" s="7">
        <f t="shared" ref="L57:L73" si="14">+D57-H57</f>
        <v>0</v>
      </c>
      <c r="M57" s="3"/>
      <c r="N57" s="8">
        <f t="shared" ref="N57:N73" si="15">IF(H57=0,0,L57/H57)</f>
        <v>0</v>
      </c>
      <c r="O57" s="12"/>
      <c r="P57" s="7">
        <v>91.31</v>
      </c>
      <c r="Q57" s="3"/>
      <c r="R57" s="8">
        <f t="shared" ref="R57:R73" si="16">IF(P$12=0,0,P57/P$12)</f>
        <v>4.6825052710876188E-4</v>
      </c>
      <c r="S57" s="3"/>
      <c r="T57" s="7"/>
      <c r="U57" s="3"/>
      <c r="V57" s="8">
        <f t="shared" ref="V57:V73" si="17">IF(T$12=0,0,T57/T$12)</f>
        <v>0</v>
      </c>
      <c r="W57" s="3"/>
      <c r="X57" s="7">
        <f t="shared" ref="X57:X73" si="18">+P57-T57</f>
        <v>91.31</v>
      </c>
      <c r="Y57" s="3"/>
      <c r="Z57" s="8">
        <f t="shared" ref="Z57:Z73" si="19">IF(T57=0,0,X57/T57)</f>
        <v>0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2209.4499999999998</v>
      </c>
      <c r="E58" s="2"/>
      <c r="F58" s="6">
        <f t="shared" si="12"/>
        <v>7.2756268722526427E-2</v>
      </c>
      <c r="G58" s="2"/>
      <c r="H58" s="2">
        <f>SUM(OSRRefH22_7x_0)</f>
        <v>5600</v>
      </c>
      <c r="I58" s="2"/>
      <c r="J58" s="6">
        <f t="shared" si="13"/>
        <v>0.14000000000000001</v>
      </c>
      <c r="K58" s="2"/>
      <c r="L58" s="2">
        <f t="shared" si="14"/>
        <v>-3390.55</v>
      </c>
      <c r="M58" s="2"/>
      <c r="N58" s="6">
        <f t="shared" si="15"/>
        <v>-0.60545535714285714</v>
      </c>
      <c r="O58" s="14"/>
      <c r="P58" s="2">
        <f>SUM(OSRRefP22_7x_0)</f>
        <v>28305.040000000001</v>
      </c>
      <c r="Q58" s="2"/>
      <c r="R58" s="6">
        <f t="shared" si="16"/>
        <v>0.1451522275745766</v>
      </c>
      <c r="S58" s="2"/>
      <c r="T58" s="2">
        <f>SUM(OSRRefT22_7x_0)</f>
        <v>54900</v>
      </c>
      <c r="U58" s="2"/>
      <c r="V58" s="6">
        <f t="shared" si="17"/>
        <v>0.1553788243285314</v>
      </c>
      <c r="W58" s="2"/>
      <c r="X58" s="2">
        <f t="shared" si="18"/>
        <v>-26594.959999999999</v>
      </c>
      <c r="Y58" s="2"/>
      <c r="Z58" s="6">
        <f t="shared" si="19"/>
        <v>-0.48442550091074682</v>
      </c>
    </row>
    <row r="59" spans="1:26" s="70" customFormat="1" ht="15" hidden="1" customHeight="1" outlineLevel="2" x14ac:dyDescent="0.3">
      <c r="A59" s="26"/>
      <c r="B59" s="12" t="str">
        <f>CONCATENATE("          ","6371"," - ","COMPUTER SOFTWARE MAINTENANCE")</f>
        <v xml:space="preserve">          6371 - COMPUTER SOFTWARE MAINTENANCE</v>
      </c>
      <c r="C59" s="12"/>
      <c r="D59" s="7"/>
      <c r="E59" s="3"/>
      <c r="F59" s="8">
        <f t="shared" si="12"/>
        <v>0</v>
      </c>
      <c r="G59" s="3"/>
      <c r="H59" s="7"/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100</v>
      </c>
      <c r="U59" s="3"/>
      <c r="V59" s="8">
        <f t="shared" si="17"/>
        <v>2.8302153793903717E-4</v>
      </c>
      <c r="W59" s="3"/>
      <c r="X59" s="7">
        <f t="shared" si="18"/>
        <v>-100</v>
      </c>
      <c r="Y59" s="3"/>
      <c r="Z59" s="8">
        <f t="shared" si="19"/>
        <v>-1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>
        <v>770.04</v>
      </c>
      <c r="E60" s="3"/>
      <c r="F60" s="8">
        <f t="shared" si="12"/>
        <v>2.5357096638120007E-2</v>
      </c>
      <c r="G60" s="3"/>
      <c r="H60" s="7">
        <v>5600</v>
      </c>
      <c r="I60" s="3"/>
      <c r="J60" s="8">
        <f t="shared" si="13"/>
        <v>0.14000000000000001</v>
      </c>
      <c r="K60" s="3"/>
      <c r="L60" s="7">
        <f t="shared" si="14"/>
        <v>-4829.96</v>
      </c>
      <c r="M60" s="3"/>
      <c r="N60" s="8">
        <f t="shared" si="15"/>
        <v>-0.86249285714285717</v>
      </c>
      <c r="O60" s="12"/>
      <c r="P60" s="7">
        <v>9247.89</v>
      </c>
      <c r="Q60" s="3"/>
      <c r="R60" s="8">
        <f t="shared" si="16"/>
        <v>4.7424481077032607E-2</v>
      </c>
      <c r="S60" s="3"/>
      <c r="T60" s="7">
        <v>54800</v>
      </c>
      <c r="U60" s="3"/>
      <c r="V60" s="8">
        <f t="shared" si="17"/>
        <v>0.15509580279059237</v>
      </c>
      <c r="W60" s="3"/>
      <c r="X60" s="7">
        <f t="shared" si="18"/>
        <v>-45552.11</v>
      </c>
      <c r="Y60" s="3"/>
      <c r="Z60" s="8">
        <f t="shared" si="19"/>
        <v>-0.83124288321167883</v>
      </c>
    </row>
    <row r="61" spans="1:26" s="70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7">
        <v>1439.41</v>
      </c>
      <c r="E61" s="3"/>
      <c r="F61" s="8">
        <f t="shared" si="12"/>
        <v>4.7399172084406423E-2</v>
      </c>
      <c r="G61" s="3"/>
      <c r="H61" s="7"/>
      <c r="I61" s="3"/>
      <c r="J61" s="8">
        <f t="shared" si="13"/>
        <v>0</v>
      </c>
      <c r="K61" s="3"/>
      <c r="L61" s="7">
        <f t="shared" si="14"/>
        <v>1439.41</v>
      </c>
      <c r="M61" s="3"/>
      <c r="N61" s="8">
        <f t="shared" si="15"/>
        <v>0</v>
      </c>
      <c r="O61" s="12"/>
      <c r="P61" s="7">
        <v>19057.150000000001</v>
      </c>
      <c r="Q61" s="3"/>
      <c r="R61" s="8">
        <f t="shared" si="16"/>
        <v>9.7727746497543996E-2</v>
      </c>
      <c r="S61" s="3"/>
      <c r="T61" s="7"/>
      <c r="U61" s="3"/>
      <c r="V61" s="8">
        <f t="shared" si="17"/>
        <v>0</v>
      </c>
      <c r="W61" s="3"/>
      <c r="X61" s="7">
        <f t="shared" si="18"/>
        <v>19057.150000000001</v>
      </c>
      <c r="Y61" s="3"/>
      <c r="Z61" s="8">
        <f t="shared" si="19"/>
        <v>0</v>
      </c>
    </row>
    <row r="62" spans="1:26" s="69" customFormat="1" ht="15" customHeight="1" outlineLevel="1" collapsed="1" x14ac:dyDescent="0.3">
      <c r="A62" s="25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2045.03</v>
      </c>
      <c r="E62" s="2"/>
      <c r="F62" s="6">
        <f t="shared" si="12"/>
        <v>6.7341986569339984E-2</v>
      </c>
      <c r="G62" s="2"/>
      <c r="H62" s="2">
        <f>SUM(OSRRefH22_8x_0)</f>
        <v>700</v>
      </c>
      <c r="I62" s="2"/>
      <c r="J62" s="6">
        <f t="shared" si="13"/>
        <v>1.7500000000000002E-2</v>
      </c>
      <c r="K62" s="2"/>
      <c r="L62" s="2">
        <f t="shared" si="14"/>
        <v>1345.03</v>
      </c>
      <c r="M62" s="2"/>
      <c r="N62" s="6">
        <f t="shared" si="15"/>
        <v>1.9214714285714285</v>
      </c>
      <c r="O62" s="14"/>
      <c r="P62" s="2">
        <f>SUM(OSRRefP22_8x_0)</f>
        <v>12050.65</v>
      </c>
      <c r="Q62" s="2"/>
      <c r="R62" s="6">
        <f t="shared" si="16"/>
        <v>6.1797428698972742E-2</v>
      </c>
      <c r="S62" s="2"/>
      <c r="T62" s="2">
        <f>SUM(OSRRefT22_8x_0)</f>
        <v>34000</v>
      </c>
      <c r="U62" s="2"/>
      <c r="V62" s="6">
        <f t="shared" si="17"/>
        <v>9.6227322899272633E-2</v>
      </c>
      <c r="W62" s="2"/>
      <c r="X62" s="2">
        <f t="shared" si="18"/>
        <v>-21949.35</v>
      </c>
      <c r="Y62" s="2"/>
      <c r="Z62" s="6">
        <f t="shared" si="19"/>
        <v>-0.64556911764705882</v>
      </c>
    </row>
    <row r="63" spans="1:26" s="70" customFormat="1" ht="15" hidden="1" customHeight="1" outlineLevel="2" x14ac:dyDescent="0.3">
      <c r="A63" s="26"/>
      <c r="B63" s="12" t="str">
        <f>CONCATENATE("          ","6259"," - ","ROYALTY &amp; COMMISSIONS")</f>
        <v xml:space="preserve">          6259 - ROYALTY &amp; COMMISSIONS</v>
      </c>
      <c r="C63" s="12"/>
      <c r="D63" s="7">
        <v>2045.03</v>
      </c>
      <c r="E63" s="3"/>
      <c r="F63" s="8">
        <f t="shared" si="12"/>
        <v>6.7341986569339984E-2</v>
      </c>
      <c r="G63" s="3"/>
      <c r="H63" s="7">
        <v>700</v>
      </c>
      <c r="I63" s="3"/>
      <c r="J63" s="8">
        <f t="shared" si="13"/>
        <v>1.7500000000000002E-2</v>
      </c>
      <c r="K63" s="3"/>
      <c r="L63" s="7">
        <f t="shared" si="14"/>
        <v>1345.03</v>
      </c>
      <c r="M63" s="3"/>
      <c r="N63" s="8">
        <f t="shared" si="15"/>
        <v>1.9214714285714285</v>
      </c>
      <c r="O63" s="12"/>
      <c r="P63" s="7">
        <v>12050.65</v>
      </c>
      <c r="Q63" s="3"/>
      <c r="R63" s="8">
        <f t="shared" si="16"/>
        <v>6.1797428698972742E-2</v>
      </c>
      <c r="S63" s="3"/>
      <c r="T63" s="7">
        <v>34000</v>
      </c>
      <c r="U63" s="3"/>
      <c r="V63" s="8">
        <f t="shared" si="17"/>
        <v>9.6227322899272633E-2</v>
      </c>
      <c r="W63" s="3"/>
      <c r="X63" s="7">
        <f t="shared" si="18"/>
        <v>-21949.35</v>
      </c>
      <c r="Y63" s="3"/>
      <c r="Z63" s="8">
        <f t="shared" si="19"/>
        <v>-0.64556911764705882</v>
      </c>
    </row>
    <row r="64" spans="1:26" s="69" customFormat="1" ht="15" customHeight="1" outlineLevel="1" collapsed="1" x14ac:dyDescent="0.3">
      <c r="A64" s="2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SUM(OSRRefD22_9x_0)</f>
        <v>0</v>
      </c>
      <c r="E64" s="2"/>
      <c r="F64" s="6">
        <f t="shared" si="12"/>
        <v>0</v>
      </c>
      <c r="G64" s="2"/>
      <c r="H64" s="2">
        <f>SUM(OSRRefH22_9x_0)</f>
        <v>0</v>
      </c>
      <c r="I64" s="2"/>
      <c r="J64" s="6">
        <f t="shared" si="13"/>
        <v>0</v>
      </c>
      <c r="K64" s="2"/>
      <c r="L64" s="2">
        <f t="shared" si="14"/>
        <v>0</v>
      </c>
      <c r="M64" s="2"/>
      <c r="N64" s="6">
        <f t="shared" si="15"/>
        <v>0</v>
      </c>
      <c r="O64" s="14"/>
      <c r="P64" s="2">
        <f>SUM(OSRRefP22_9x_0)</f>
        <v>5.28</v>
      </c>
      <c r="Q64" s="2"/>
      <c r="R64" s="6">
        <f t="shared" si="16"/>
        <v>2.7076582883958632E-5</v>
      </c>
      <c r="S64" s="2"/>
      <c r="T64" s="2">
        <f>SUM(OSRRefT22_9x_0)</f>
        <v>0</v>
      </c>
      <c r="U64" s="2"/>
      <c r="V64" s="6">
        <f t="shared" si="17"/>
        <v>0</v>
      </c>
      <c r="W64" s="2"/>
      <c r="X64" s="2">
        <f t="shared" si="18"/>
        <v>5.28</v>
      </c>
      <c r="Y64" s="2"/>
      <c r="Z64" s="6">
        <f t="shared" si="19"/>
        <v>0</v>
      </c>
    </row>
    <row r="65" spans="1:26" s="70" customFormat="1" ht="15" hidden="1" customHeight="1" outlineLevel="2" x14ac:dyDescent="0.3">
      <c r="A65" s="26"/>
      <c r="B65" s="12" t="str">
        <f>CONCATENATE("          ","6258"," - ","MEMBERSHIP DUES")</f>
        <v xml:space="preserve">          6258 - MEMBERSHIP DUES</v>
      </c>
      <c r="C65" s="12"/>
      <c r="D65" s="7"/>
      <c r="E65" s="3"/>
      <c r="F65" s="8">
        <f t="shared" si="12"/>
        <v>0</v>
      </c>
      <c r="G65" s="3"/>
      <c r="H65" s="7"/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>
        <v>5.28</v>
      </c>
      <c r="Q65" s="3"/>
      <c r="R65" s="8">
        <f t="shared" si="16"/>
        <v>2.7076582883958632E-5</v>
      </c>
      <c r="S65" s="3"/>
      <c r="T65" s="7"/>
      <c r="U65" s="3"/>
      <c r="V65" s="8">
        <f t="shared" si="17"/>
        <v>0</v>
      </c>
      <c r="W65" s="3"/>
      <c r="X65" s="7">
        <f t="shared" si="18"/>
        <v>5.28</v>
      </c>
      <c r="Y65" s="3"/>
      <c r="Z65" s="8">
        <f t="shared" si="19"/>
        <v>0</v>
      </c>
    </row>
    <row r="66" spans="1:26" s="69" customFormat="1" ht="15" customHeight="1" outlineLevel="1" collapsed="1" x14ac:dyDescent="0.3">
      <c r="A66" s="25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SUM(OSRRefD22_10x_0)</f>
        <v>8058.9500000000007</v>
      </c>
      <c r="E66" s="2"/>
      <c r="F66" s="6">
        <f t="shared" si="12"/>
        <v>0.26537786861952273</v>
      </c>
      <c r="G66" s="2"/>
      <c r="H66" s="2">
        <f>SUM(OSRRefH22_10x_0)</f>
        <v>4600</v>
      </c>
      <c r="I66" s="2"/>
      <c r="J66" s="6">
        <f t="shared" si="13"/>
        <v>0.115</v>
      </c>
      <c r="K66" s="2"/>
      <c r="L66" s="2">
        <f t="shared" si="14"/>
        <v>3458.9500000000007</v>
      </c>
      <c r="M66" s="2"/>
      <c r="N66" s="6">
        <f t="shared" si="15"/>
        <v>0.75194565217391318</v>
      </c>
      <c r="O66" s="14"/>
      <c r="P66" s="2">
        <f>SUM(OSRRefP22_10x_0)</f>
        <v>43766</v>
      </c>
      <c r="Q66" s="2"/>
      <c r="R66" s="6">
        <f t="shared" si="16"/>
        <v>0.22443820577638893</v>
      </c>
      <c r="S66" s="2"/>
      <c r="T66" s="2">
        <f>SUM(OSRRefT22_10x_0)</f>
        <v>45450</v>
      </c>
      <c r="U66" s="2"/>
      <c r="V66" s="6">
        <f t="shared" si="17"/>
        <v>0.12863328899329238</v>
      </c>
      <c r="W66" s="2"/>
      <c r="X66" s="2">
        <f t="shared" si="18"/>
        <v>-1684</v>
      </c>
      <c r="Y66" s="2"/>
      <c r="Z66" s="6">
        <f t="shared" si="19"/>
        <v>-3.7051705170517049E-2</v>
      </c>
    </row>
    <row r="67" spans="1:26" s="70" customFormat="1" ht="15" hidden="1" customHeight="1" outlineLevel="2" x14ac:dyDescent="0.3">
      <c r="A67" s="26"/>
      <c r="B67" s="12" t="str">
        <f>CONCATENATE("          ","6234"," - ","EXPENDABLE SUPPLIES &amp; EQUIPMEN")</f>
        <v xml:space="preserve">          6234 - EXPENDABLE SUPPLIES &amp; EQUIPMEN</v>
      </c>
      <c r="C67" s="12"/>
      <c r="D67" s="7">
        <v>4993.3100000000004</v>
      </c>
      <c r="E67" s="3"/>
      <c r="F67" s="8">
        <f t="shared" si="12"/>
        <v>0.16442761962247548</v>
      </c>
      <c r="G67" s="3"/>
      <c r="H67" s="7"/>
      <c r="I67" s="3"/>
      <c r="J67" s="8">
        <f t="shared" si="13"/>
        <v>0</v>
      </c>
      <c r="K67" s="3"/>
      <c r="L67" s="7">
        <f t="shared" si="14"/>
        <v>4993.3100000000004</v>
      </c>
      <c r="M67" s="3"/>
      <c r="N67" s="8">
        <f t="shared" si="15"/>
        <v>0</v>
      </c>
      <c r="O67" s="12"/>
      <c r="P67" s="7">
        <v>4993.3100000000004</v>
      </c>
      <c r="Q67" s="3"/>
      <c r="R67" s="8">
        <f t="shared" si="16"/>
        <v>2.5606396227329447E-2</v>
      </c>
      <c r="S67" s="3"/>
      <c r="T67" s="7"/>
      <c r="U67" s="3"/>
      <c r="V67" s="8">
        <f t="shared" si="17"/>
        <v>0</v>
      </c>
      <c r="W67" s="3"/>
      <c r="X67" s="7">
        <f t="shared" si="18"/>
        <v>4993.3100000000004</v>
      </c>
      <c r="Y67" s="3"/>
      <c r="Z67" s="8">
        <f t="shared" si="19"/>
        <v>0</v>
      </c>
    </row>
    <row r="68" spans="1:26" s="70" customFormat="1" ht="15" hidden="1" customHeight="1" outlineLevel="2" x14ac:dyDescent="0.3">
      <c r="A68" s="26"/>
      <c r="B68" s="12" t="str">
        <f>CONCATENATE("          ","6241"," - ","OFFICE EXPENSE")</f>
        <v xml:space="preserve">          6241 - OFFICE EXPENSE</v>
      </c>
      <c r="C68" s="12"/>
      <c r="D68" s="7">
        <v>1786.97</v>
      </c>
      <c r="E68" s="3"/>
      <c r="F68" s="8">
        <f t="shared" si="12"/>
        <v>5.8844178197783641E-2</v>
      </c>
      <c r="G68" s="3"/>
      <c r="H68" s="7"/>
      <c r="I68" s="3"/>
      <c r="J68" s="8">
        <f t="shared" si="13"/>
        <v>0</v>
      </c>
      <c r="K68" s="3"/>
      <c r="L68" s="7">
        <f t="shared" si="14"/>
        <v>1786.97</v>
      </c>
      <c r="M68" s="3"/>
      <c r="N68" s="8">
        <f t="shared" si="15"/>
        <v>0</v>
      </c>
      <c r="O68" s="12"/>
      <c r="P68" s="7">
        <v>11008.35</v>
      </c>
      <c r="Q68" s="3"/>
      <c r="R68" s="8">
        <f t="shared" si="16"/>
        <v>5.6452367649739772E-2</v>
      </c>
      <c r="S68" s="3"/>
      <c r="T68" s="7">
        <v>50</v>
      </c>
      <c r="U68" s="3"/>
      <c r="V68" s="8">
        <f t="shared" si="17"/>
        <v>1.4151076896951859E-4</v>
      </c>
      <c r="W68" s="3"/>
      <c r="X68" s="7">
        <f t="shared" si="18"/>
        <v>10958.35</v>
      </c>
      <c r="Y68" s="3"/>
      <c r="Z68" s="8">
        <f t="shared" si="19"/>
        <v>219.167</v>
      </c>
    </row>
    <row r="69" spans="1:26" s="70" customFormat="1" ht="15" hidden="1" customHeight="1" outlineLevel="2" x14ac:dyDescent="0.3">
      <c r="A69" s="26"/>
      <c r="B69" s="12" t="str">
        <f>CONCATENATE("          ","6243"," - ","PAPER SUPPLIES")</f>
        <v xml:space="preserve">          6243 - PAPER SUPPLIES</v>
      </c>
      <c r="C69" s="12"/>
      <c r="D69" s="7">
        <v>410.22</v>
      </c>
      <c r="E69" s="3"/>
      <c r="F69" s="8">
        <f t="shared" si="12"/>
        <v>1.3508373828488898E-2</v>
      </c>
      <c r="G69" s="3"/>
      <c r="H69" s="7">
        <v>4200</v>
      </c>
      <c r="I69" s="3"/>
      <c r="J69" s="8">
        <f t="shared" si="13"/>
        <v>0.105</v>
      </c>
      <c r="K69" s="3"/>
      <c r="L69" s="7">
        <f t="shared" si="14"/>
        <v>-3789.7799999999997</v>
      </c>
      <c r="M69" s="3"/>
      <c r="N69" s="8">
        <f t="shared" si="15"/>
        <v>-0.90232857142857137</v>
      </c>
      <c r="O69" s="12"/>
      <c r="P69" s="7">
        <v>7245.36</v>
      </c>
      <c r="Q69" s="3"/>
      <c r="R69" s="8">
        <f t="shared" si="16"/>
        <v>3.7155225485628503E-2</v>
      </c>
      <c r="S69" s="3"/>
      <c r="T69" s="7">
        <v>34550</v>
      </c>
      <c r="U69" s="3"/>
      <c r="V69" s="8">
        <f t="shared" si="17"/>
        <v>9.7783941357937346E-2</v>
      </c>
      <c r="W69" s="3"/>
      <c r="X69" s="7">
        <f t="shared" si="18"/>
        <v>-27304.639999999999</v>
      </c>
      <c r="Y69" s="3"/>
      <c r="Z69" s="8">
        <f t="shared" si="19"/>
        <v>-0.790293487698987</v>
      </c>
    </row>
    <row r="70" spans="1:26" s="70" customFormat="1" ht="15" hidden="1" customHeight="1" outlineLevel="2" x14ac:dyDescent="0.3">
      <c r="A70" s="26"/>
      <c r="B70" s="12" t="str">
        <f>CONCATENATE("          ","6245"," - ","PRINTING")</f>
        <v xml:space="preserve">          6245 - PRINTING</v>
      </c>
      <c r="C70" s="12"/>
      <c r="D70" s="7">
        <v>-45.84</v>
      </c>
      <c r="E70" s="3"/>
      <c r="F70" s="8">
        <f t="shared" si="12"/>
        <v>-1.5094921171516043E-3</v>
      </c>
      <c r="G70" s="3"/>
      <c r="H70" s="7">
        <v>50</v>
      </c>
      <c r="I70" s="3"/>
      <c r="J70" s="8">
        <f t="shared" si="13"/>
        <v>1.25E-3</v>
      </c>
      <c r="K70" s="3"/>
      <c r="L70" s="7">
        <f t="shared" si="14"/>
        <v>-95.84</v>
      </c>
      <c r="M70" s="3"/>
      <c r="N70" s="8">
        <f t="shared" si="15"/>
        <v>-1.9168000000000001</v>
      </c>
      <c r="O70" s="12"/>
      <c r="P70" s="7">
        <v>5286.69</v>
      </c>
      <c r="Q70" s="3"/>
      <c r="R70" s="8">
        <f t="shared" si="16"/>
        <v>2.7110890145226371E-2</v>
      </c>
      <c r="S70" s="3"/>
      <c r="T70" s="7">
        <v>8045</v>
      </c>
      <c r="U70" s="3"/>
      <c r="V70" s="8">
        <f t="shared" si="17"/>
        <v>2.2769082727195539E-2</v>
      </c>
      <c r="W70" s="3"/>
      <c r="X70" s="7">
        <f t="shared" si="18"/>
        <v>-2758.3100000000004</v>
      </c>
      <c r="Y70" s="3"/>
      <c r="Z70" s="8">
        <f t="shared" si="19"/>
        <v>-0.34286016159105037</v>
      </c>
    </row>
    <row r="71" spans="1:26" s="70" customFormat="1" ht="15" hidden="1" customHeight="1" outlineLevel="2" x14ac:dyDescent="0.3">
      <c r="A71" s="26"/>
      <c r="B71" s="12" t="str">
        <f>CONCATENATE("          ","6247"," - ","STORE SUPPLIES")</f>
        <v xml:space="preserve">          6247 - STORE SUPPLIES</v>
      </c>
      <c r="C71" s="12"/>
      <c r="D71" s="7">
        <v>914.29</v>
      </c>
      <c r="E71" s="3"/>
      <c r="F71" s="8">
        <f t="shared" si="12"/>
        <v>3.0107189087926266E-2</v>
      </c>
      <c r="G71" s="3"/>
      <c r="H71" s="7">
        <v>350</v>
      </c>
      <c r="I71" s="3"/>
      <c r="J71" s="8">
        <f t="shared" si="13"/>
        <v>8.7500000000000008E-3</v>
      </c>
      <c r="K71" s="3"/>
      <c r="L71" s="7">
        <f t="shared" si="14"/>
        <v>564.29</v>
      </c>
      <c r="M71" s="3"/>
      <c r="N71" s="8">
        <f t="shared" si="15"/>
        <v>1.6122571428571428</v>
      </c>
      <c r="O71" s="12"/>
      <c r="P71" s="7">
        <v>15232.29</v>
      </c>
      <c r="Q71" s="3"/>
      <c r="R71" s="8">
        <f t="shared" si="16"/>
        <v>7.8113326268464817E-2</v>
      </c>
      <c r="S71" s="3"/>
      <c r="T71" s="7">
        <v>2805</v>
      </c>
      <c r="U71" s="3"/>
      <c r="V71" s="8">
        <f t="shared" si="17"/>
        <v>7.9387541391899921E-3</v>
      </c>
      <c r="W71" s="3"/>
      <c r="X71" s="7">
        <f t="shared" si="18"/>
        <v>12427.29</v>
      </c>
      <c r="Y71" s="3"/>
      <c r="Z71" s="8">
        <f t="shared" si="19"/>
        <v>4.4304064171122999</v>
      </c>
    </row>
    <row r="72" spans="1:26" s="69" customFormat="1" ht="15" customHeight="1" outlineLevel="1" collapsed="1" x14ac:dyDescent="0.3">
      <c r="A72" s="25"/>
      <c r="B72" s="14" t="str">
        <f>CONCATENATE("     ","Telephone/Data Lines                              ")</f>
        <v xml:space="preserve">     Telephone/Data Lines                              </v>
      </c>
      <c r="C72" s="14"/>
      <c r="D72" s="2">
        <f>SUM(OSRRefD22_11x_0)</f>
        <v>241.2</v>
      </c>
      <c r="E72" s="2"/>
      <c r="F72" s="6">
        <f t="shared" si="12"/>
        <v>7.9426155902479686E-3</v>
      </c>
      <c r="G72" s="2"/>
      <c r="H72" s="2">
        <f>SUM(OSRRefH22_11x_0)</f>
        <v>175</v>
      </c>
      <c r="I72" s="2"/>
      <c r="J72" s="6">
        <f t="shared" si="13"/>
        <v>4.3750000000000004E-3</v>
      </c>
      <c r="K72" s="2"/>
      <c r="L72" s="2">
        <f t="shared" si="14"/>
        <v>66.199999999999989</v>
      </c>
      <c r="M72" s="2"/>
      <c r="N72" s="6">
        <f t="shared" si="15"/>
        <v>0.37828571428571423</v>
      </c>
      <c r="O72" s="14"/>
      <c r="P72" s="2">
        <f>SUM(OSRRefP22_11x_0)</f>
        <v>1171.5999999999999</v>
      </c>
      <c r="Q72" s="2"/>
      <c r="R72" s="6">
        <f t="shared" si="16"/>
        <v>6.0081296414480926E-3</v>
      </c>
      <c r="S72" s="2"/>
      <c r="T72" s="2">
        <f>SUM(OSRRefT22_11x_0)</f>
        <v>1750</v>
      </c>
      <c r="U72" s="2"/>
      <c r="V72" s="6">
        <f t="shared" si="17"/>
        <v>4.9528769139331507E-3</v>
      </c>
      <c r="W72" s="2"/>
      <c r="X72" s="2">
        <f t="shared" si="18"/>
        <v>-578.40000000000009</v>
      </c>
      <c r="Y72" s="2"/>
      <c r="Z72" s="6">
        <f t="shared" si="19"/>
        <v>-0.33051428571428576</v>
      </c>
    </row>
    <row r="73" spans="1:26" s="70" customFormat="1" ht="15" hidden="1" customHeight="1" outlineLevel="2" x14ac:dyDescent="0.3">
      <c r="A73" s="26"/>
      <c r="B73" s="12" t="str">
        <f>CONCATENATE("          ","6309"," - ","TELEPHONE")</f>
        <v xml:space="preserve">          6309 - TELEPHONE</v>
      </c>
      <c r="C73" s="12"/>
      <c r="D73" s="7">
        <v>241.2</v>
      </c>
      <c r="E73" s="3"/>
      <c r="F73" s="8">
        <f t="shared" si="12"/>
        <v>7.9426155902479686E-3</v>
      </c>
      <c r="G73" s="3"/>
      <c r="H73" s="7">
        <v>175</v>
      </c>
      <c r="I73" s="3"/>
      <c r="J73" s="8">
        <f t="shared" si="13"/>
        <v>4.3750000000000004E-3</v>
      </c>
      <c r="K73" s="3"/>
      <c r="L73" s="7">
        <f t="shared" si="14"/>
        <v>66.199999999999989</v>
      </c>
      <c r="M73" s="3"/>
      <c r="N73" s="8">
        <f t="shared" si="15"/>
        <v>0.37828571428571423</v>
      </c>
      <c r="O73" s="12"/>
      <c r="P73" s="7">
        <v>1171.5999999999999</v>
      </c>
      <c r="Q73" s="3"/>
      <c r="R73" s="8">
        <f t="shared" si="16"/>
        <v>6.0081296414480926E-3</v>
      </c>
      <c r="S73" s="3"/>
      <c r="T73" s="7">
        <v>1750</v>
      </c>
      <c r="U73" s="3"/>
      <c r="V73" s="8">
        <f t="shared" si="17"/>
        <v>4.9528769139331507E-3</v>
      </c>
      <c r="W73" s="3"/>
      <c r="X73" s="7">
        <f t="shared" si="18"/>
        <v>-578.40000000000009</v>
      </c>
      <c r="Y73" s="3"/>
      <c r="Z73" s="8">
        <f t="shared" si="19"/>
        <v>-0.33051428571428576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collapsed="1" x14ac:dyDescent="0.3">
      <c r="A75" s="11"/>
      <c r="B75" s="28" t="s">
        <v>291</v>
      </c>
      <c r="C75" s="11"/>
      <c r="D75" s="5">
        <f>SUM(OSRRefD25x_0)</f>
        <v>3060.54</v>
      </c>
      <c r="E75" s="5"/>
      <c r="F75" s="13">
        <f>IF(D$12=0,0,D75/D$12)</f>
        <v>0.10078230812013897</v>
      </c>
      <c r="G75" s="5"/>
      <c r="H75" s="5">
        <f>SUM(OSRRefH25x_0)</f>
        <v>0</v>
      </c>
      <c r="I75" s="5"/>
      <c r="J75" s="13">
        <f>IF(H$12=0,0,H75/H$12)</f>
        <v>0</v>
      </c>
      <c r="K75" s="5"/>
      <c r="L75" s="5">
        <f>+D75-H75</f>
        <v>3060.54</v>
      </c>
      <c r="M75" s="5"/>
      <c r="N75" s="13">
        <f>IF(H75=0,0,L75/H75)</f>
        <v>0</v>
      </c>
      <c r="O75" s="11"/>
      <c r="P75" s="5">
        <f>SUM(OSRRefP25x_0)</f>
        <v>18195.98</v>
      </c>
      <c r="Q75" s="5"/>
      <c r="R75" s="13">
        <f>IF(P$12=0,0,P75/P$12)</f>
        <v>9.331154557288894E-2</v>
      </c>
      <c r="S75" s="5"/>
      <c r="T75" s="5">
        <f>SUM(OSRRefT25x_0)</f>
        <v>33910</v>
      </c>
      <c r="U75" s="5"/>
      <c r="V75" s="13">
        <f>IF(T$12=0,0,T75/T$12)</f>
        <v>9.59726035151275E-2</v>
      </c>
      <c r="W75" s="5"/>
      <c r="X75" s="5">
        <f>+P75-T75</f>
        <v>-15714.02</v>
      </c>
      <c r="Y75" s="5"/>
      <c r="Z75" s="13">
        <f>IF(T75=0,0,X75/T75)</f>
        <v>-0.46340371571807726</v>
      </c>
    </row>
    <row r="76" spans="1:26" s="70" customFormat="1" ht="15" hidden="1" customHeight="1" outlineLevel="1" x14ac:dyDescent="0.3">
      <c r="A76" s="42"/>
      <c r="B76" s="12" t="str">
        <f>CONCATENATE("          ","9150"," - ","MISC. INCOME")</f>
        <v xml:space="preserve">          9150 - MISC. INCOME</v>
      </c>
      <c r="C76" s="12"/>
      <c r="D76" s="3">
        <f>--3060.54</f>
        <v>3060.54</v>
      </c>
      <c r="E76" s="3"/>
      <c r="F76" s="20">
        <f>IF(D$12=0,0,D76/D$12)</f>
        <v>0.10078230812013897</v>
      </c>
      <c r="G76" s="3"/>
      <c r="H76" s="3"/>
      <c r="I76" s="3"/>
      <c r="J76" s="20">
        <f>IF(H$12=0,0,H76/H$12)</f>
        <v>0</v>
      </c>
      <c r="K76" s="3"/>
      <c r="L76" s="3">
        <f>+D76-H76</f>
        <v>3060.54</v>
      </c>
      <c r="M76" s="3"/>
      <c r="N76" s="20">
        <f>IF(H76=0,0,L76/H76)</f>
        <v>0</v>
      </c>
      <c r="O76" s="12"/>
      <c r="P76" s="3">
        <f>--18195.98</f>
        <v>18195.98</v>
      </c>
      <c r="Q76" s="3"/>
      <c r="R76" s="20">
        <f>IF(P$12=0,0,P76/P$12)</f>
        <v>9.331154557288894E-2</v>
      </c>
      <c r="S76" s="3"/>
      <c r="T76" s="3">
        <v>33910</v>
      </c>
      <c r="U76" s="3"/>
      <c r="V76" s="20">
        <f>IF(T$12=0,0,T76/T$12)</f>
        <v>9.59726035151275E-2</v>
      </c>
      <c r="W76" s="3"/>
      <c r="X76" s="3">
        <f>+P76-T76</f>
        <v>-15714.02</v>
      </c>
      <c r="Y76" s="3"/>
      <c r="Z76" s="20">
        <f>IF(T76=0,0,X76/T76)</f>
        <v>-0.46340371571807726</v>
      </c>
    </row>
    <row r="77" spans="1:26" ht="15" customHeight="1" x14ac:dyDescent="0.3">
      <c r="A77" s="10"/>
      <c r="B77" s="11"/>
      <c r="C77" s="11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O77" s="11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3" customFormat="1" ht="15" customHeight="1" x14ac:dyDescent="0.3">
      <c r="A78" s="11"/>
      <c r="B78" s="27" t="s">
        <v>292</v>
      </c>
      <c r="C78" s="27"/>
      <c r="D78" s="21">
        <f>+D23-D25+D75</f>
        <v>5044.1500000000005</v>
      </c>
      <c r="E78" s="15"/>
      <c r="F78" s="23">
        <f>IF(D$12=0,0,D78/D$12)</f>
        <v>0.16610175965816459</v>
      </c>
      <c r="G78" s="15"/>
      <c r="H78" s="21">
        <f>+H23-H25+H75</f>
        <v>13046.269044480749</v>
      </c>
      <c r="I78" s="15"/>
      <c r="J78" s="23">
        <f>IF(H$12=0,0,H78/H$12)</f>
        <v>0.32615672611201874</v>
      </c>
      <c r="K78" s="17"/>
      <c r="L78" s="21">
        <f>+D78-H78</f>
        <v>-8002.119044480748</v>
      </c>
      <c r="M78" s="17"/>
      <c r="N78" s="23">
        <f>IF(H78=0,0,L78/H78)</f>
        <v>-0.61336455788224464</v>
      </c>
      <c r="O78" s="28"/>
      <c r="P78" s="21">
        <f>+P23-P25+P75</f>
        <v>-32081.699999999964</v>
      </c>
      <c r="Q78" s="15"/>
      <c r="R78" s="23">
        <f>IF(P$12=0,0,P78/P$12)</f>
        <v>-0.1645194714220255</v>
      </c>
      <c r="S78" s="15"/>
      <c r="T78" s="21">
        <f>+T23-T25+T75</f>
        <v>83987.323805538705</v>
      </c>
      <c r="U78" s="15"/>
      <c r="V78" s="23">
        <f>IF(T$12=0,0,T78/T$12)</f>
        <v>0.23770221550827472</v>
      </c>
      <c r="W78" s="17"/>
      <c r="X78" s="21">
        <f>+P78-T78</f>
        <v>-116069.02380553867</v>
      </c>
      <c r="Y78" s="17"/>
      <c r="Z78" s="23">
        <f>IF(T78=0,0,X78/T78)</f>
        <v>-1.3819826438842224</v>
      </c>
    </row>
    <row r="79" spans="1:26" ht="15" customHeight="1" x14ac:dyDescent="0.3">
      <c r="A79" s="10"/>
      <c r="B79" s="11"/>
      <c r="C79" s="10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3">
      <c r="A80" s="49"/>
      <c r="B80" s="11" t="s">
        <v>293</v>
      </c>
      <c r="C80" s="11"/>
      <c r="D80" s="5">
        <v>2441.89</v>
      </c>
      <c r="E80" s="5"/>
      <c r="F80" s="13">
        <f>IF(D$12=0,0,D80/D$12)</f>
        <v>8.0410421159496731E-2</v>
      </c>
      <c r="G80" s="5"/>
      <c r="H80" s="5">
        <v>5307</v>
      </c>
      <c r="I80" s="5"/>
      <c r="J80" s="13">
        <f>IF(H$12=0,0,H80/H$12)</f>
        <v>0.13267499999999999</v>
      </c>
      <c r="K80" s="5"/>
      <c r="L80" s="5">
        <f>+D80-H80</f>
        <v>-2865.11</v>
      </c>
      <c r="M80" s="5"/>
      <c r="N80" s="13">
        <f>IF(H80=0,0,L80/H80)</f>
        <v>-0.53987375164876583</v>
      </c>
      <c r="O80" s="11"/>
      <c r="P80" s="5">
        <v>22090.63</v>
      </c>
      <c r="Q80" s="5"/>
      <c r="R80" s="13">
        <f>IF(P$12=0,0,P80/P$12)</f>
        <v>0.11328385874126196</v>
      </c>
      <c r="S80" s="5"/>
      <c r="T80" s="5">
        <v>43466</v>
      </c>
      <c r="U80" s="5"/>
      <c r="V80" s="13">
        <f>IF(T$12=0,0,T80/T$12)</f>
        <v>0.12301814168058189</v>
      </c>
      <c r="W80" s="5"/>
      <c r="X80" s="5">
        <f>+P80-T80</f>
        <v>-21375.37</v>
      </c>
      <c r="Y80" s="5"/>
      <c r="Z80" s="13">
        <f>IF(T80=0,0,X80/T80)</f>
        <v>-0.49177218975751158</v>
      </c>
    </row>
    <row r="81" spans="1:26" ht="15" customHeight="1" x14ac:dyDescent="0.3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294</v>
      </c>
      <c r="C82" s="27"/>
      <c r="D82" s="29">
        <f>+D78-D80</f>
        <v>2602.2600000000007</v>
      </c>
      <c r="E82" s="15"/>
      <c r="F82" s="30">
        <f>IF(D$12=0,0,D82/D$12)</f>
        <v>8.5691338498667849E-2</v>
      </c>
      <c r="G82" s="15"/>
      <c r="H82" s="29">
        <f>+H78-H80</f>
        <v>7739.2690444807486</v>
      </c>
      <c r="I82" s="15"/>
      <c r="J82" s="30">
        <f>IF(H$12=0,0,H82/H$12)</f>
        <v>0.19348172611201872</v>
      </c>
      <c r="K82" s="17"/>
      <c r="L82" s="29">
        <f>D82-H82</f>
        <v>-5137.0090444807483</v>
      </c>
      <c r="M82" s="17"/>
      <c r="N82" s="30">
        <f>IF(H82=0,0,L82/H82)</f>
        <v>-0.66375894350697118</v>
      </c>
      <c r="O82" s="28"/>
      <c r="P82" s="29">
        <f>+P78-P80</f>
        <v>-54172.329999999965</v>
      </c>
      <c r="Q82" s="15"/>
      <c r="R82" s="30">
        <f>IF(P$12=0,0,P82/P$12)</f>
        <v>-0.27780333016328745</v>
      </c>
      <c r="S82" s="15"/>
      <c r="T82" s="29">
        <f>+T78-T80</f>
        <v>40521.323805538705</v>
      </c>
      <c r="U82" s="15"/>
      <c r="V82" s="30">
        <f>IF(T$12=0,0,T82/T$12)</f>
        <v>0.11468407382769283</v>
      </c>
      <c r="W82" s="17"/>
      <c r="X82" s="29">
        <f>P82-T82</f>
        <v>-94693.653805538663</v>
      </c>
      <c r="Y82" s="17"/>
      <c r="Z82" s="30">
        <f>IF(T82=0,0,X82/T82)</f>
        <v>-2.336884507030724</v>
      </c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7" t="s">
        <v>297</v>
      </c>
      <c r="C85" s="27"/>
      <c r="D85" s="32">
        <f>SUM(D82:D84)</f>
        <v>2602.2600000000007</v>
      </c>
      <c r="E85" s="15"/>
      <c r="F85" s="34">
        <f>IF(D$12=0,0,D85/D$12)</f>
        <v>8.5691338498667849E-2</v>
      </c>
      <c r="G85" s="15"/>
      <c r="H85" s="32">
        <f>SUM(H82:H84)</f>
        <v>7739.2690444807486</v>
      </c>
      <c r="I85" s="15"/>
      <c r="J85" s="34">
        <f>IF(H$12=0,0,H85/H$12)</f>
        <v>0.19348172611201872</v>
      </c>
      <c r="K85" s="17"/>
      <c r="L85" s="32">
        <f>+D85-H85</f>
        <v>-5137.0090444807483</v>
      </c>
      <c r="M85" s="17"/>
      <c r="N85" s="34">
        <f>IF(H85=0,0,L85/H85)</f>
        <v>-0.66375894350697118</v>
      </c>
      <c r="O85" s="28"/>
      <c r="P85" s="32">
        <f>SUM(P82:P84)</f>
        <v>-54172.329999999965</v>
      </c>
      <c r="Q85" s="15"/>
      <c r="R85" s="34">
        <f>IF(P$12=0,0,P85/P$12)</f>
        <v>-0.27780333016328745</v>
      </c>
      <c r="S85" s="15"/>
      <c r="T85" s="32">
        <f>SUM(T82:T84)</f>
        <v>40521.323805538705</v>
      </c>
      <c r="U85" s="15"/>
      <c r="V85" s="34">
        <f>IF(T$12=0,0,T85/T$12)</f>
        <v>0.11468407382769283</v>
      </c>
      <c r="W85" s="17"/>
      <c r="X85" s="32">
        <f>+P85-T85</f>
        <v>-94693.653805538663</v>
      </c>
      <c r="Y85" s="17"/>
      <c r="Z85" s="34">
        <f>IF(T85=0,0,X85/T85)</f>
        <v>-2.336884507030724</v>
      </c>
    </row>
    <row r="86" spans="1:26" ht="15" customHeight="1" x14ac:dyDescent="0.3">
      <c r="A86" s="10"/>
      <c r="C86" s="10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6">
        <v>44694.888541122687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0" t="s">
        <v>298</v>
      </c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A89" s="10"/>
      <c r="B89" s="51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14AD7-6657-00BD-F25C-0D9058E2E233}">
  <sheetPr>
    <tabColor rgb="FF92D050"/>
    <outlinePr summaryBelow="0" summaryRight="0"/>
  </sheetPr>
  <dimension ref="A2:Z9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","316"," - ","Campus Copy Center")</f>
        <v>Department 316 - Campus Copy Center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30367.83</v>
      </c>
      <c r="E12" s="5"/>
      <c r="F12" s="13"/>
      <c r="G12" s="5"/>
      <c r="H12" s="5">
        <f>SUM(OSRRefH13x_0)</f>
        <v>40000</v>
      </c>
      <c r="I12" s="5"/>
      <c r="J12" s="13"/>
      <c r="K12" s="5"/>
      <c r="L12" s="5">
        <f t="shared" ref="L12:L17" si="0">+D12-H12</f>
        <v>-9632.1699999999983</v>
      </c>
      <c r="M12" s="5"/>
      <c r="N12" s="13">
        <f t="shared" ref="N12:N17" si="1">IF(H12=0,0,L12/H12)</f>
        <v>-0.24080424999999997</v>
      </c>
      <c r="O12" s="11"/>
      <c r="P12" s="5">
        <f>SUM(OSRRefP13x_0)</f>
        <v>195002.45000000004</v>
      </c>
      <c r="Q12" s="5"/>
      <c r="R12" s="13"/>
      <c r="S12" s="5"/>
      <c r="T12" s="5">
        <f>SUM(OSRRefT13x_0)</f>
        <v>353330</v>
      </c>
      <c r="U12" s="5"/>
      <c r="V12" s="13"/>
      <c r="W12" s="5"/>
      <c r="X12" s="5">
        <f t="shared" ref="X12:X17" si="2">+P12-T12</f>
        <v>-158327.54999999996</v>
      </c>
      <c r="Y12" s="5"/>
      <c r="Z12" s="13">
        <f t="shared" ref="Z12:Z17" si="3">IF(T12=0,0,X12/T12)</f>
        <v>-0.44810106699119789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--21804.84</f>
        <v>21804.84</v>
      </c>
      <c r="E13" s="3"/>
      <c r="F13" s="20"/>
      <c r="G13" s="3"/>
      <c r="H13" s="3">
        <v>12800</v>
      </c>
      <c r="I13" s="3"/>
      <c r="J13" s="20"/>
      <c r="K13" s="3"/>
      <c r="L13" s="3">
        <f t="shared" si="0"/>
        <v>9004.84</v>
      </c>
      <c r="M13" s="3"/>
      <c r="N13" s="20">
        <f t="shared" si="1"/>
        <v>0.70350312500000001</v>
      </c>
      <c r="O13" s="12"/>
      <c r="P13" s="3">
        <f>--149910.67</f>
        <v>149910.67000000001</v>
      </c>
      <c r="Q13" s="3"/>
      <c r="R13" s="20"/>
      <c r="S13" s="3"/>
      <c r="T13" s="3">
        <v>176330</v>
      </c>
      <c r="U13" s="3"/>
      <c r="V13" s="20"/>
      <c r="W13" s="3"/>
      <c r="X13" s="3">
        <f t="shared" si="2"/>
        <v>-26419.329999999987</v>
      </c>
      <c r="Y13" s="3"/>
      <c r="Z13" s="20">
        <f t="shared" si="3"/>
        <v>-0.14982890035728458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--8945.27</f>
        <v>8945.27</v>
      </c>
      <c r="E14" s="3"/>
      <c r="F14" s="20"/>
      <c r="G14" s="3"/>
      <c r="H14" s="3">
        <v>27200</v>
      </c>
      <c r="I14" s="3"/>
      <c r="J14" s="20"/>
      <c r="K14" s="3"/>
      <c r="L14" s="3">
        <f t="shared" si="0"/>
        <v>-18254.73</v>
      </c>
      <c r="M14" s="3"/>
      <c r="N14" s="20">
        <f t="shared" si="1"/>
        <v>-0.67112977941176466</v>
      </c>
      <c r="O14" s="12"/>
      <c r="P14" s="3">
        <f>--46162.8</f>
        <v>46162.8</v>
      </c>
      <c r="Q14" s="3"/>
      <c r="R14" s="20"/>
      <c r="S14" s="3"/>
      <c r="T14" s="3">
        <v>177000</v>
      </c>
      <c r="U14" s="3"/>
      <c r="V14" s="20"/>
      <c r="W14" s="3"/>
      <c r="X14" s="3">
        <f t="shared" si="2"/>
        <v>-130837.2</v>
      </c>
      <c r="Y14" s="3"/>
      <c r="Z14" s="20">
        <f t="shared" si="3"/>
        <v>-0.73919322033898305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-382.28</f>
        <v>-382.28</v>
      </c>
      <c r="E17" s="3"/>
      <c r="F17" s="20"/>
      <c r="G17" s="3"/>
      <c r="H17" s="3"/>
      <c r="I17" s="3"/>
      <c r="J17" s="20"/>
      <c r="K17" s="3"/>
      <c r="L17" s="3">
        <f t="shared" si="0"/>
        <v>-382.28</v>
      </c>
      <c r="M17" s="3"/>
      <c r="N17" s="20">
        <f t="shared" si="1"/>
        <v>0</v>
      </c>
      <c r="O17" s="12"/>
      <c r="P17" s="3">
        <f>-1071.02</f>
        <v>-1071.02</v>
      </c>
      <c r="Q17" s="3"/>
      <c r="R17" s="20"/>
      <c r="S17" s="3"/>
      <c r="T17" s="3"/>
      <c r="U17" s="3"/>
      <c r="V17" s="20"/>
      <c r="W17" s="3"/>
      <c r="X17" s="3">
        <f t="shared" si="2"/>
        <v>-1071.02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4.2358442163162553E-5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4.2358442163162553E-5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D12-D19</f>
        <v>30367.83</v>
      </c>
      <c r="E23" s="15"/>
      <c r="F23" s="23">
        <f>IF(D$12=0,0,D23/D$12)</f>
        <v>1</v>
      </c>
      <c r="G23" s="15"/>
      <c r="H23" s="21">
        <f>H12-H19</f>
        <v>40000</v>
      </c>
      <c r="I23" s="15"/>
      <c r="J23" s="23">
        <f>IF(H$12=0,0,H23/H$12)</f>
        <v>1</v>
      </c>
      <c r="K23" s="17"/>
      <c r="L23" s="21">
        <f>+D23-H23</f>
        <v>-9632.1699999999983</v>
      </c>
      <c r="M23" s="17"/>
      <c r="N23" s="23">
        <f>IF(H23=0,0,L23/H23)</f>
        <v>-0.24080424999999997</v>
      </c>
      <c r="O23" s="28"/>
      <c r="P23" s="21">
        <f>P12-P19</f>
        <v>194994.19000000003</v>
      </c>
      <c r="Q23" s="15"/>
      <c r="R23" s="23">
        <f>IF(P$12=0,0,P23/P$12)</f>
        <v>0.99995764155783684</v>
      </c>
      <c r="S23" s="15"/>
      <c r="T23" s="21">
        <f>T12-T19</f>
        <v>353330</v>
      </c>
      <c r="U23" s="15"/>
      <c r="V23" s="23">
        <f>IF(T$12=0,0,T23/T$12)</f>
        <v>1</v>
      </c>
      <c r="W23" s="17"/>
      <c r="X23" s="21">
        <f>+P23-T23</f>
        <v>-158335.80999999997</v>
      </c>
      <c r="Y23" s="17"/>
      <c r="Z23" s="23">
        <f>IF(T23=0,0,X23/T23)</f>
        <v>-0.44812444457023171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28384.22</v>
      </c>
      <c r="E25" s="22"/>
      <c r="F25" s="33">
        <f t="shared" ref="F25:F56" si="4">IF(D$12=0,0,D25/D$12)</f>
        <v>0.93468054846197435</v>
      </c>
      <c r="G25" s="22"/>
      <c r="H25" s="22" cm="1">
        <f t="array" ref="H25">SUM(OSRRefH22x_0)</f>
        <v>26953.730955519251</v>
      </c>
      <c r="I25" s="22"/>
      <c r="J25" s="33">
        <f t="shared" ref="J25:J56" si="5">IF(H$12=0,0,H25/H$12)</f>
        <v>0.67384327388798126</v>
      </c>
      <c r="K25" s="5"/>
      <c r="L25" s="22">
        <f t="shared" ref="L25:L56" si="6">+D25-H25</f>
        <v>1430.4890444807497</v>
      </c>
      <c r="M25" s="5"/>
      <c r="N25" s="33">
        <f t="shared" ref="N25:N56" si="7">IF(H25=0,0,L25/H25)</f>
        <v>5.30720235666607E-2</v>
      </c>
      <c r="O25" s="11"/>
      <c r="P25" s="22" cm="1">
        <f t="array" ref="P25">SUM(OSRRefP22x_0)</f>
        <v>245271.87</v>
      </c>
      <c r="Q25" s="22"/>
      <c r="R25" s="33">
        <f t="shared" ref="R25:R56" si="8">IF(P$12=0,0,P25/P$12)</f>
        <v>1.2577886585527511</v>
      </c>
      <c r="S25" s="22"/>
      <c r="T25" s="22" cm="1">
        <f t="array" ref="T25">SUM(OSRRefT22x_0)</f>
        <v>303252.6761944613</v>
      </c>
      <c r="U25" s="22"/>
      <c r="V25" s="33">
        <f t="shared" ref="V25:V56" si="9">IF(T$12=0,0,T25/T$12)</f>
        <v>0.85827038800685274</v>
      </c>
      <c r="W25" s="5"/>
      <c r="X25" s="22">
        <f t="shared" ref="X25:X56" si="10">+P25-T25</f>
        <v>-57980.8061944613</v>
      </c>
      <c r="Y25" s="5"/>
      <c r="Z25" s="33">
        <f t="shared" ref="Z25:Z56" si="11">IF(T25=0,0,X25/T25)</f>
        <v>-0.19119635454521433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5692.91</v>
      </c>
      <c r="E26" s="2"/>
      <c r="F26" s="6">
        <f t="shared" si="4"/>
        <v>0.1874651563842395</v>
      </c>
      <c r="G26" s="2"/>
      <c r="H26" s="2">
        <f>SUM(OSRRefH22_0x_0)</f>
        <v>5059.6947632115398</v>
      </c>
      <c r="I26" s="2"/>
      <c r="J26" s="6">
        <f t="shared" si="5"/>
        <v>0.12649236908028849</v>
      </c>
      <c r="K26" s="2"/>
      <c r="L26" s="2">
        <f t="shared" si="6"/>
        <v>633.21523678846006</v>
      </c>
      <c r="M26" s="2"/>
      <c r="N26" s="6">
        <f t="shared" si="7"/>
        <v>0.12514890056066136</v>
      </c>
      <c r="O26" s="14"/>
      <c r="P26" s="2">
        <f>SUM(OSRRefP22_0x_0)</f>
        <v>72861.66</v>
      </c>
      <c r="Q26" s="2"/>
      <c r="R26" s="6">
        <f t="shared" si="8"/>
        <v>0.37364484394939645</v>
      </c>
      <c r="S26" s="2"/>
      <c r="T26" s="2">
        <f>SUM(OSRRefT22_0x_0)</f>
        <v>58919.315963692265</v>
      </c>
      <c r="U26" s="2"/>
      <c r="V26" s="6">
        <f t="shared" si="9"/>
        <v>0.16675435418360249</v>
      </c>
      <c r="W26" s="2"/>
      <c r="X26" s="2">
        <f t="shared" si="10"/>
        <v>13942.344036307739</v>
      </c>
      <c r="Y26" s="2"/>
      <c r="Z26" s="6">
        <f t="shared" si="11"/>
        <v>0.23663451973711647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1011.55</v>
      </c>
      <c r="E27" s="3"/>
      <c r="F27" s="8">
        <f t="shared" si="4"/>
        <v>3.3309920399317301E-2</v>
      </c>
      <c r="G27" s="3"/>
      <c r="H27" s="7">
        <v>1018.96295301923</v>
      </c>
      <c r="I27" s="3"/>
      <c r="J27" s="8">
        <f t="shared" si="5"/>
        <v>2.547407382548075E-2</v>
      </c>
      <c r="K27" s="3"/>
      <c r="L27" s="7">
        <f t="shared" si="6"/>
        <v>-7.4129530192300308</v>
      </c>
      <c r="M27" s="3"/>
      <c r="N27" s="8">
        <f t="shared" si="7"/>
        <v>-7.2749975818700175E-3</v>
      </c>
      <c r="O27" s="12"/>
      <c r="P27" s="7">
        <v>12192.74</v>
      </c>
      <c r="Q27" s="3"/>
      <c r="R27" s="8">
        <f t="shared" si="8"/>
        <v>6.2526086210711693E-2</v>
      </c>
      <c r="S27" s="3"/>
      <c r="T27" s="7">
        <v>10316.9127544615</v>
      </c>
      <c r="U27" s="3"/>
      <c r="V27" s="8">
        <f t="shared" si="9"/>
        <v>2.9199085145505618E-2</v>
      </c>
      <c r="W27" s="3"/>
      <c r="X27" s="7">
        <f t="shared" si="10"/>
        <v>1875.8272455384995</v>
      </c>
      <c r="Y27" s="3"/>
      <c r="Z27" s="8">
        <f t="shared" si="11"/>
        <v>0.18182059790389396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180.65</v>
      </c>
      <c r="E28" s="3"/>
      <c r="F28" s="8">
        <f t="shared" si="4"/>
        <v>5.9487292967591032E-3</v>
      </c>
      <c r="G28" s="3"/>
      <c r="H28" s="7">
        <v>207.70706999999999</v>
      </c>
      <c r="I28" s="3"/>
      <c r="J28" s="8">
        <f t="shared" si="5"/>
        <v>5.1926767499999998E-3</v>
      </c>
      <c r="K28" s="3"/>
      <c r="L28" s="7">
        <f t="shared" si="6"/>
        <v>-27.057069999999982</v>
      </c>
      <c r="M28" s="3"/>
      <c r="N28" s="8">
        <f t="shared" si="7"/>
        <v>-0.13026552249762122</v>
      </c>
      <c r="O28" s="12"/>
      <c r="P28" s="7">
        <v>2715.78</v>
      </c>
      <c r="Q28" s="3"/>
      <c r="R28" s="8">
        <f t="shared" si="8"/>
        <v>1.3926901944052496E-2</v>
      </c>
      <c r="S28" s="3"/>
      <c r="T28" s="7">
        <v>2109.5683199999999</v>
      </c>
      <c r="U28" s="3"/>
      <c r="V28" s="8">
        <f t="shared" si="9"/>
        <v>5.9705327031387085E-3</v>
      </c>
      <c r="W28" s="3"/>
      <c r="X28" s="7">
        <f t="shared" si="10"/>
        <v>606.21168000000034</v>
      </c>
      <c r="Y28" s="3"/>
      <c r="Z28" s="8">
        <f t="shared" si="11"/>
        <v>0.28736290465340342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1287</v>
      </c>
      <c r="E29" s="3"/>
      <c r="F29" s="8">
        <f t="shared" si="4"/>
        <v>4.2380374231547002E-2</v>
      </c>
      <c r="G29" s="3"/>
      <c r="H29" s="7">
        <v>1326</v>
      </c>
      <c r="I29" s="3"/>
      <c r="J29" s="8">
        <f t="shared" si="5"/>
        <v>3.3149999999999999E-2</v>
      </c>
      <c r="K29" s="3"/>
      <c r="L29" s="7">
        <f t="shared" si="6"/>
        <v>-39</v>
      </c>
      <c r="M29" s="3"/>
      <c r="N29" s="8">
        <f t="shared" si="7"/>
        <v>-2.9411764705882353E-2</v>
      </c>
      <c r="O29" s="12"/>
      <c r="P29" s="7">
        <v>23034.02</v>
      </c>
      <c r="Q29" s="3"/>
      <c r="R29" s="8">
        <f t="shared" si="8"/>
        <v>0.11812169539408349</v>
      </c>
      <c r="S29" s="3"/>
      <c r="T29" s="7">
        <v>18202.5</v>
      </c>
      <c r="U29" s="3"/>
      <c r="V29" s="8">
        <f t="shared" si="9"/>
        <v>5.1516995443353239E-2</v>
      </c>
      <c r="W29" s="3"/>
      <c r="X29" s="7">
        <f t="shared" si="10"/>
        <v>4831.5200000000004</v>
      </c>
      <c r="Y29" s="3"/>
      <c r="Z29" s="8">
        <f t="shared" si="11"/>
        <v>0.26543167147369867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31.74</v>
      </c>
      <c r="E30" s="3"/>
      <c r="F30" s="8">
        <f t="shared" si="4"/>
        <v>1.0451849868759143E-3</v>
      </c>
      <c r="G30" s="3"/>
      <c r="H30" s="7">
        <v>27.960567115384599</v>
      </c>
      <c r="I30" s="3"/>
      <c r="J30" s="8">
        <f t="shared" si="5"/>
        <v>6.99014177884615E-4</v>
      </c>
      <c r="K30" s="3"/>
      <c r="L30" s="7">
        <f t="shared" si="6"/>
        <v>3.7794328846153995</v>
      </c>
      <c r="M30" s="3"/>
      <c r="N30" s="8">
        <f t="shared" si="7"/>
        <v>0.1351701082820978</v>
      </c>
      <c r="O30" s="12"/>
      <c r="P30" s="7">
        <v>477.1</v>
      </c>
      <c r="Q30" s="3"/>
      <c r="R30" s="8">
        <f t="shared" si="8"/>
        <v>2.446635926881944E-3</v>
      </c>
      <c r="S30" s="3"/>
      <c r="T30" s="7">
        <v>283.98035076923099</v>
      </c>
      <c r="U30" s="3"/>
      <c r="V30" s="8">
        <f t="shared" si="9"/>
        <v>8.0372555619174992E-4</v>
      </c>
      <c r="W30" s="3"/>
      <c r="X30" s="7">
        <f t="shared" si="10"/>
        <v>193.11964923076903</v>
      </c>
      <c r="Y30" s="3"/>
      <c r="Z30" s="8">
        <f t="shared" si="11"/>
        <v>0.68004581552088628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1140.55</v>
      </c>
      <c r="E31" s="3"/>
      <c r="F31" s="8">
        <f t="shared" si="4"/>
        <v>3.7557836697584251E-2</v>
      </c>
      <c r="G31" s="3"/>
      <c r="H31" s="7">
        <v>953.51259615384697</v>
      </c>
      <c r="I31" s="3"/>
      <c r="J31" s="8">
        <f t="shared" si="5"/>
        <v>2.3837814903846174E-2</v>
      </c>
      <c r="K31" s="3"/>
      <c r="L31" s="7">
        <f t="shared" si="6"/>
        <v>187.03740384615298</v>
      </c>
      <c r="M31" s="3"/>
      <c r="N31" s="8">
        <f t="shared" si="7"/>
        <v>0.19615619615367405</v>
      </c>
      <c r="O31" s="12"/>
      <c r="P31" s="7">
        <v>15225.87</v>
      </c>
      <c r="Q31" s="3"/>
      <c r="R31" s="8">
        <f t="shared" si="8"/>
        <v>7.8080403605185464E-2</v>
      </c>
      <c r="S31" s="3"/>
      <c r="T31" s="7">
        <v>10208.504307692299</v>
      </c>
      <c r="U31" s="3"/>
      <c r="V31" s="8">
        <f t="shared" si="9"/>
        <v>2.8892265892203603E-2</v>
      </c>
      <c r="W31" s="3"/>
      <c r="X31" s="7">
        <f t="shared" si="10"/>
        <v>5017.3656923077015</v>
      </c>
      <c r="Y31" s="3"/>
      <c r="Z31" s="8">
        <f t="shared" si="11"/>
        <v>0.49148881570506098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4"/>
        <v>0</v>
      </c>
      <c r="G32" s="3"/>
      <c r="H32" s="7">
        <v>0</v>
      </c>
      <c r="I32" s="3"/>
      <c r="J32" s="8">
        <f t="shared" si="5"/>
        <v>0</v>
      </c>
      <c r="K32" s="3"/>
      <c r="L32" s="7">
        <f t="shared" si="6"/>
        <v>0</v>
      </c>
      <c r="M32" s="3"/>
      <c r="N32" s="8">
        <f t="shared" si="7"/>
        <v>0</v>
      </c>
      <c r="O32" s="12"/>
      <c r="P32" s="7"/>
      <c r="Q32" s="3"/>
      <c r="R32" s="8">
        <f t="shared" si="8"/>
        <v>0</v>
      </c>
      <c r="S32" s="3"/>
      <c r="T32" s="7">
        <v>0</v>
      </c>
      <c r="U32" s="3"/>
      <c r="V32" s="8">
        <f t="shared" si="9"/>
        <v>0</v>
      </c>
      <c r="W32" s="3"/>
      <c r="X32" s="7">
        <f t="shared" si="10"/>
        <v>0</v>
      </c>
      <c r="Y32" s="3"/>
      <c r="Z32" s="8">
        <f t="shared" si="11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7">
        <v>976.7</v>
      </c>
      <c r="E33" s="3"/>
      <c r="F33" s="8">
        <f t="shared" si="4"/>
        <v>3.216232440711108E-2</v>
      </c>
      <c r="G33" s="3"/>
      <c r="H33" s="7">
        <v>776.11490384615502</v>
      </c>
      <c r="I33" s="3"/>
      <c r="J33" s="8">
        <f t="shared" si="5"/>
        <v>1.9402872596153874E-2</v>
      </c>
      <c r="K33" s="3"/>
      <c r="L33" s="7">
        <f t="shared" si="6"/>
        <v>200.58509615384503</v>
      </c>
      <c r="M33" s="3"/>
      <c r="N33" s="8">
        <f t="shared" si="7"/>
        <v>0.25844767979562716</v>
      </c>
      <c r="O33" s="12"/>
      <c r="P33" s="7">
        <v>8501.89</v>
      </c>
      <c r="Q33" s="3"/>
      <c r="R33" s="8">
        <f t="shared" si="8"/>
        <v>4.359888811653391E-2</v>
      </c>
      <c r="S33" s="3"/>
      <c r="T33" s="7">
        <v>8943.2919230769203</v>
      </c>
      <c r="U33" s="3"/>
      <c r="V33" s="8">
        <f t="shared" si="9"/>
        <v>2.5311442343069993E-2</v>
      </c>
      <c r="W33" s="3"/>
      <c r="X33" s="7">
        <f t="shared" si="10"/>
        <v>-441.40192307692087</v>
      </c>
      <c r="Y33" s="3"/>
      <c r="Z33" s="8">
        <f t="shared" si="11"/>
        <v>-4.9355642963855917E-2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7">
        <v>616.59</v>
      </c>
      <c r="E34" s="3"/>
      <c r="F34" s="8">
        <f t="shared" si="4"/>
        <v>2.0304052018204791E-2</v>
      </c>
      <c r="G34" s="3"/>
      <c r="H34" s="7">
        <v>399.436673076923</v>
      </c>
      <c r="I34" s="3"/>
      <c r="J34" s="8">
        <f t="shared" si="5"/>
        <v>9.9859168269230743E-3</v>
      </c>
      <c r="K34" s="3"/>
      <c r="L34" s="7">
        <f t="shared" si="6"/>
        <v>217.15332692307703</v>
      </c>
      <c r="M34" s="3"/>
      <c r="N34" s="8">
        <f t="shared" si="7"/>
        <v>0.54364894752980764</v>
      </c>
      <c r="O34" s="12"/>
      <c r="P34" s="7">
        <v>6403.37</v>
      </c>
      <c r="Q34" s="3"/>
      <c r="R34" s="8">
        <f t="shared" si="8"/>
        <v>3.2837382299555719E-2</v>
      </c>
      <c r="S34" s="3"/>
      <c r="T34" s="7">
        <v>4479.5583076923103</v>
      </c>
      <c r="U34" s="3"/>
      <c r="V34" s="8">
        <f t="shared" si="9"/>
        <v>1.2678114815306682E-2</v>
      </c>
      <c r="W34" s="3"/>
      <c r="X34" s="7">
        <f t="shared" si="10"/>
        <v>1923.8116923076896</v>
      </c>
      <c r="Y34" s="3"/>
      <c r="Z34" s="8">
        <f t="shared" si="11"/>
        <v>0.42946459453471442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7">
        <v>448.13</v>
      </c>
      <c r="E35" s="3"/>
      <c r="F35" s="8">
        <f t="shared" si="4"/>
        <v>1.4756734346840059E-2</v>
      </c>
      <c r="G35" s="3"/>
      <c r="H35" s="7">
        <v>350</v>
      </c>
      <c r="I35" s="3"/>
      <c r="J35" s="8">
        <f t="shared" si="5"/>
        <v>8.7500000000000008E-3</v>
      </c>
      <c r="K35" s="3"/>
      <c r="L35" s="7">
        <f t="shared" si="6"/>
        <v>98.13</v>
      </c>
      <c r="M35" s="3"/>
      <c r="N35" s="8">
        <f t="shared" si="7"/>
        <v>0.28037142857142855</v>
      </c>
      <c r="O35" s="12"/>
      <c r="P35" s="7">
        <v>4310.8900000000003</v>
      </c>
      <c r="Q35" s="3"/>
      <c r="R35" s="8">
        <f t="shared" si="8"/>
        <v>2.210685045239175E-2</v>
      </c>
      <c r="S35" s="3"/>
      <c r="T35" s="7">
        <v>4375</v>
      </c>
      <c r="U35" s="3"/>
      <c r="V35" s="8">
        <f t="shared" si="9"/>
        <v>1.2382192284832876E-2</v>
      </c>
      <c r="W35" s="3"/>
      <c r="X35" s="7">
        <f t="shared" si="10"/>
        <v>-64.109999999999673</v>
      </c>
      <c r="Y35" s="3"/>
      <c r="Z35" s="8">
        <f t="shared" si="11"/>
        <v>-1.4653714285714211E-2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14795.57</v>
      </c>
      <c r="E36" s="2"/>
      <c r="F36" s="6">
        <f t="shared" si="4"/>
        <v>0.48721196081511253</v>
      </c>
      <c r="G36" s="2"/>
      <c r="H36" s="2">
        <f>SUM(OSRRefH22_1x_0)</f>
        <v>12299.036192307709</v>
      </c>
      <c r="I36" s="2"/>
      <c r="J36" s="6">
        <f t="shared" si="5"/>
        <v>0.30747590480769271</v>
      </c>
      <c r="K36" s="2"/>
      <c r="L36" s="2">
        <f t="shared" si="6"/>
        <v>2496.5338076922908</v>
      </c>
      <c r="M36" s="2"/>
      <c r="N36" s="6">
        <f t="shared" si="7"/>
        <v>0.2029861339259835</v>
      </c>
      <c r="O36" s="14"/>
      <c r="P36" s="2">
        <f>SUM(OSRRefP22_1x_0)</f>
        <v>141656.26</v>
      </c>
      <c r="Q36" s="2"/>
      <c r="R36" s="6">
        <f t="shared" si="8"/>
        <v>0.72643323199272614</v>
      </c>
      <c r="S36" s="2"/>
      <c r="T36" s="2">
        <f>SUM(OSRRefT22_1x_0)</f>
        <v>122933.360230769</v>
      </c>
      <c r="U36" s="2"/>
      <c r="V36" s="6">
        <f t="shared" si="9"/>
        <v>0.3479278867652591</v>
      </c>
      <c r="W36" s="2"/>
      <c r="X36" s="2">
        <f t="shared" si="10"/>
        <v>18722.899769231008</v>
      </c>
      <c r="Y36" s="2"/>
      <c r="Z36" s="6">
        <f t="shared" si="11"/>
        <v>0.15230121208827782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7"/>
      <c r="E37" s="3"/>
      <c r="F37" s="8">
        <f t="shared" si="4"/>
        <v>0</v>
      </c>
      <c r="G37" s="3"/>
      <c r="H37" s="7">
        <v>0</v>
      </c>
      <c r="I37" s="3"/>
      <c r="J37" s="8">
        <f t="shared" si="5"/>
        <v>0</v>
      </c>
      <c r="K37" s="3"/>
      <c r="L37" s="7">
        <f t="shared" si="6"/>
        <v>0</v>
      </c>
      <c r="M37" s="3"/>
      <c r="N37" s="8">
        <f t="shared" si="7"/>
        <v>0</v>
      </c>
      <c r="O37" s="12"/>
      <c r="P37" s="7"/>
      <c r="Q37" s="3"/>
      <c r="R37" s="8">
        <f t="shared" si="8"/>
        <v>0</v>
      </c>
      <c r="S37" s="3"/>
      <c r="T37" s="7">
        <v>0</v>
      </c>
      <c r="U37" s="3"/>
      <c r="V37" s="8">
        <f t="shared" si="9"/>
        <v>0</v>
      </c>
      <c r="W37" s="3"/>
      <c r="X37" s="7">
        <f t="shared" si="10"/>
        <v>0</v>
      </c>
      <c r="Y37" s="3"/>
      <c r="Z37" s="8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7">
        <v>10626.39</v>
      </c>
      <c r="E38" s="3"/>
      <c r="F38" s="8">
        <f t="shared" si="4"/>
        <v>0.34992259901349548</v>
      </c>
      <c r="G38" s="3"/>
      <c r="H38" s="7">
        <v>9978.6201923077097</v>
      </c>
      <c r="I38" s="3"/>
      <c r="J38" s="8">
        <f t="shared" si="5"/>
        <v>0.24946550480769275</v>
      </c>
      <c r="K38" s="3"/>
      <c r="L38" s="7">
        <f t="shared" si="6"/>
        <v>647.76980769228976</v>
      </c>
      <c r="M38" s="3"/>
      <c r="N38" s="8">
        <f t="shared" si="7"/>
        <v>6.4915769435902645E-2</v>
      </c>
      <c r="O38" s="12"/>
      <c r="P38" s="7">
        <v>113663.81</v>
      </c>
      <c r="Q38" s="3"/>
      <c r="R38" s="8">
        <f t="shared" si="8"/>
        <v>0.58288400991884959</v>
      </c>
      <c r="S38" s="3"/>
      <c r="T38" s="7">
        <v>105776.444230769</v>
      </c>
      <c r="U38" s="3"/>
      <c r="V38" s="8">
        <f t="shared" si="9"/>
        <v>0.29937011923915036</v>
      </c>
      <c r="W38" s="3"/>
      <c r="X38" s="7">
        <f t="shared" si="10"/>
        <v>7887.3657692309935</v>
      </c>
      <c r="Y38" s="3"/>
      <c r="Z38" s="8">
        <f t="shared" si="11"/>
        <v>7.4566372755198562E-2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7"/>
      <c r="E39" s="3"/>
      <c r="F39" s="8">
        <f t="shared" si="4"/>
        <v>0</v>
      </c>
      <c r="G39" s="3"/>
      <c r="H39" s="7">
        <v>0</v>
      </c>
      <c r="I39" s="3"/>
      <c r="J39" s="8">
        <f t="shared" si="5"/>
        <v>0</v>
      </c>
      <c r="K39" s="3"/>
      <c r="L39" s="7">
        <f t="shared" si="6"/>
        <v>0</v>
      </c>
      <c r="M39" s="3"/>
      <c r="N39" s="8">
        <f t="shared" si="7"/>
        <v>0</v>
      </c>
      <c r="O39" s="12"/>
      <c r="P39" s="7"/>
      <c r="Q39" s="3"/>
      <c r="R39" s="8">
        <f t="shared" si="8"/>
        <v>0</v>
      </c>
      <c r="S39" s="3"/>
      <c r="T39" s="7">
        <v>0</v>
      </c>
      <c r="U39" s="3"/>
      <c r="V39" s="8">
        <f t="shared" si="9"/>
        <v>0</v>
      </c>
      <c r="W39" s="3"/>
      <c r="X39" s="7">
        <f t="shared" si="10"/>
        <v>0</v>
      </c>
      <c r="Y39" s="3"/>
      <c r="Z39" s="8">
        <f t="shared" si="11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7"/>
      <c r="E40" s="3"/>
      <c r="F40" s="8">
        <f t="shared" si="4"/>
        <v>0</v>
      </c>
      <c r="G40" s="3"/>
      <c r="H40" s="7">
        <v>1386</v>
      </c>
      <c r="I40" s="3"/>
      <c r="J40" s="8">
        <f t="shared" si="5"/>
        <v>3.465E-2</v>
      </c>
      <c r="K40" s="3"/>
      <c r="L40" s="7">
        <f t="shared" si="6"/>
        <v>-1386</v>
      </c>
      <c r="M40" s="3"/>
      <c r="N40" s="8">
        <f t="shared" si="7"/>
        <v>-1</v>
      </c>
      <c r="O40" s="12"/>
      <c r="P40" s="7"/>
      <c r="Q40" s="3"/>
      <c r="R40" s="8">
        <f t="shared" si="8"/>
        <v>0</v>
      </c>
      <c r="S40" s="3"/>
      <c r="T40" s="7">
        <v>7137.9</v>
      </c>
      <c r="U40" s="3"/>
      <c r="V40" s="8">
        <f t="shared" si="9"/>
        <v>2.0201794356550531E-2</v>
      </c>
      <c r="W40" s="3"/>
      <c r="X40" s="7">
        <f t="shared" si="10"/>
        <v>-7137.9</v>
      </c>
      <c r="Y40" s="3"/>
      <c r="Z40" s="8">
        <f t="shared" si="11"/>
        <v>-1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7"/>
      <c r="E41" s="3"/>
      <c r="F41" s="8">
        <f t="shared" si="4"/>
        <v>0</v>
      </c>
      <c r="G41" s="3"/>
      <c r="H41" s="7">
        <v>0</v>
      </c>
      <c r="I41" s="3"/>
      <c r="J41" s="8">
        <f t="shared" si="5"/>
        <v>0</v>
      </c>
      <c r="K41" s="3"/>
      <c r="L41" s="7">
        <f t="shared" si="6"/>
        <v>0</v>
      </c>
      <c r="M41" s="3"/>
      <c r="N41" s="8">
        <f t="shared" si="7"/>
        <v>0</v>
      </c>
      <c r="O41" s="12"/>
      <c r="P41" s="7"/>
      <c r="Q41" s="3"/>
      <c r="R41" s="8">
        <f t="shared" si="8"/>
        <v>0</v>
      </c>
      <c r="S41" s="3"/>
      <c r="T41" s="7">
        <v>0</v>
      </c>
      <c r="U41" s="3"/>
      <c r="V41" s="8">
        <f t="shared" si="9"/>
        <v>0</v>
      </c>
      <c r="W41" s="3"/>
      <c r="X41" s="7">
        <f t="shared" si="10"/>
        <v>0</v>
      </c>
      <c r="Y41" s="3"/>
      <c r="Z41" s="8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7">
        <v>3416.93</v>
      </c>
      <c r="E43" s="3"/>
      <c r="F43" s="8">
        <f t="shared" si="4"/>
        <v>0.11251808245765337</v>
      </c>
      <c r="G43" s="3"/>
      <c r="H43" s="7">
        <v>934.41600000000005</v>
      </c>
      <c r="I43" s="3"/>
      <c r="J43" s="8">
        <f t="shared" si="5"/>
        <v>2.33604E-2</v>
      </c>
      <c r="K43" s="3"/>
      <c r="L43" s="7">
        <f t="shared" si="6"/>
        <v>2482.5139999999997</v>
      </c>
      <c r="M43" s="3"/>
      <c r="N43" s="8">
        <f t="shared" si="7"/>
        <v>2.6567545932432659</v>
      </c>
      <c r="O43" s="12"/>
      <c r="P43" s="7">
        <v>27240.2</v>
      </c>
      <c r="Q43" s="3"/>
      <c r="R43" s="8">
        <f t="shared" si="8"/>
        <v>0.13969157823401704</v>
      </c>
      <c r="S43" s="3"/>
      <c r="T43" s="7">
        <v>9586.4159999999993</v>
      </c>
      <c r="U43" s="3"/>
      <c r="V43" s="8">
        <f t="shared" si="9"/>
        <v>2.7131621996433927E-2</v>
      </c>
      <c r="W43" s="3"/>
      <c r="X43" s="7">
        <f t="shared" si="10"/>
        <v>17653.784</v>
      </c>
      <c r="Y43" s="3"/>
      <c r="Z43" s="8">
        <f t="shared" si="11"/>
        <v>1.8415416147181596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7">
        <v>752.25</v>
      </c>
      <c r="E44" s="3"/>
      <c r="F44" s="8">
        <f t="shared" si="4"/>
        <v>2.477127934396366E-2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752.25</v>
      </c>
      <c r="M44" s="3"/>
      <c r="N44" s="8">
        <f t="shared" si="7"/>
        <v>0</v>
      </c>
      <c r="O44" s="12"/>
      <c r="P44" s="7">
        <v>752.25</v>
      </c>
      <c r="Q44" s="3"/>
      <c r="R44" s="8">
        <f t="shared" si="8"/>
        <v>3.8576438398594472E-3</v>
      </c>
      <c r="S44" s="3"/>
      <c r="T44" s="7">
        <v>432.6</v>
      </c>
      <c r="U44" s="3"/>
      <c r="V44" s="8">
        <f t="shared" si="9"/>
        <v>1.2243511731242747E-3</v>
      </c>
      <c r="W44" s="3"/>
      <c r="X44" s="7">
        <f t="shared" si="10"/>
        <v>319.64999999999998</v>
      </c>
      <c r="Y44" s="3"/>
      <c r="Z44" s="8">
        <f t="shared" si="11"/>
        <v>0.73890429958391113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7"/>
      <c r="E45" s="3"/>
      <c r="F45" s="8">
        <f t="shared" si="4"/>
        <v>0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0</v>
      </c>
      <c r="M45" s="3"/>
      <c r="N45" s="8">
        <f t="shared" si="7"/>
        <v>0</v>
      </c>
      <c r="O45" s="12"/>
      <c r="P45" s="7"/>
      <c r="Q45" s="3"/>
      <c r="R45" s="8">
        <f t="shared" si="8"/>
        <v>0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0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7"/>
      <c r="E46" s="3"/>
      <c r="F46" s="8">
        <f t="shared" si="4"/>
        <v>0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0</v>
      </c>
      <c r="M46" s="3"/>
      <c r="N46" s="8">
        <f t="shared" si="7"/>
        <v>0</v>
      </c>
      <c r="O46" s="12"/>
      <c r="P46" s="7"/>
      <c r="Q46" s="3"/>
      <c r="R46" s="8">
        <f t="shared" si="8"/>
        <v>0</v>
      </c>
      <c r="S46" s="3"/>
      <c r="T46" s="7">
        <v>0</v>
      </c>
      <c r="U46" s="3"/>
      <c r="V46" s="8">
        <f t="shared" si="9"/>
        <v>0</v>
      </c>
      <c r="W46" s="3"/>
      <c r="X46" s="7">
        <f t="shared" si="10"/>
        <v>0</v>
      </c>
      <c r="Y46" s="3"/>
      <c r="Z46" s="8">
        <f t="shared" si="11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50</v>
      </c>
      <c r="I47" s="2"/>
      <c r="J47" s="6">
        <f t="shared" si="5"/>
        <v>1.25E-3</v>
      </c>
      <c r="K47" s="2"/>
      <c r="L47" s="2">
        <f t="shared" si="6"/>
        <v>-50</v>
      </c>
      <c r="M47" s="2"/>
      <c r="N47" s="6">
        <f t="shared" si="7"/>
        <v>-1</v>
      </c>
      <c r="O47" s="14"/>
      <c r="P47" s="2">
        <f>SUM(OSRRefP22_2x_0)</f>
        <v>151.85</v>
      </c>
      <c r="Q47" s="2"/>
      <c r="R47" s="6">
        <f t="shared" si="8"/>
        <v>7.7870816494869665E-4</v>
      </c>
      <c r="S47" s="2"/>
      <c r="T47" s="2">
        <f>SUM(OSRRefT22_2x_0)</f>
        <v>500</v>
      </c>
      <c r="U47" s="2"/>
      <c r="V47" s="6">
        <f t="shared" si="9"/>
        <v>1.4151076896951858E-3</v>
      </c>
      <c r="W47" s="2"/>
      <c r="X47" s="2">
        <f t="shared" si="10"/>
        <v>-348.15</v>
      </c>
      <c r="Y47" s="2"/>
      <c r="Z47" s="6">
        <f t="shared" si="11"/>
        <v>-0.69629999999999992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7"/>
      <c r="E48" s="3"/>
      <c r="F48" s="8">
        <f t="shared" si="4"/>
        <v>0</v>
      </c>
      <c r="G48" s="3"/>
      <c r="H48" s="7">
        <v>50</v>
      </c>
      <c r="I48" s="3"/>
      <c r="J48" s="8">
        <f t="shared" si="5"/>
        <v>1.25E-3</v>
      </c>
      <c r="K48" s="3"/>
      <c r="L48" s="7">
        <f t="shared" si="6"/>
        <v>-50</v>
      </c>
      <c r="M48" s="3"/>
      <c r="N48" s="8">
        <f t="shared" si="7"/>
        <v>-1</v>
      </c>
      <c r="O48" s="12"/>
      <c r="P48" s="7">
        <v>151.85</v>
      </c>
      <c r="Q48" s="3"/>
      <c r="R48" s="8">
        <f t="shared" si="8"/>
        <v>7.7870816494869665E-4</v>
      </c>
      <c r="S48" s="3"/>
      <c r="T48" s="7">
        <v>500</v>
      </c>
      <c r="U48" s="3"/>
      <c r="V48" s="8">
        <f t="shared" si="9"/>
        <v>1.4151076896951858E-3</v>
      </c>
      <c r="W48" s="3"/>
      <c r="X48" s="7">
        <f t="shared" si="10"/>
        <v>-348.15</v>
      </c>
      <c r="Y48" s="3"/>
      <c r="Z48" s="8">
        <f t="shared" si="11"/>
        <v>-0.69629999999999992</v>
      </c>
    </row>
    <row r="49" spans="1:26" s="69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5.5940776802293739E-3</v>
      </c>
      <c r="G49" s="2"/>
      <c r="H49" s="2">
        <f>SUM(OSRRefH22_3x_0)</f>
        <v>170</v>
      </c>
      <c r="I49" s="2"/>
      <c r="J49" s="6">
        <f t="shared" si="5"/>
        <v>4.2500000000000003E-3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1698.8</v>
      </c>
      <c r="Q49" s="2"/>
      <c r="R49" s="6">
        <f t="shared" si="8"/>
        <v>8.7116854172857808E-3</v>
      </c>
      <c r="S49" s="2"/>
      <c r="T49" s="2">
        <f>SUM(OSRRefT22_3x_0)</f>
        <v>1700</v>
      </c>
      <c r="U49" s="2"/>
      <c r="V49" s="6">
        <f t="shared" si="9"/>
        <v>4.8113661449636315E-3</v>
      </c>
      <c r="W49" s="2"/>
      <c r="X49" s="2">
        <f t="shared" si="10"/>
        <v>-1.2000000000000455</v>
      </c>
      <c r="Y49" s="2"/>
      <c r="Z49" s="6">
        <f t="shared" si="11"/>
        <v>-7.0588235294120319E-4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169.88</v>
      </c>
      <c r="E50" s="3"/>
      <c r="F50" s="8">
        <f t="shared" si="4"/>
        <v>5.5940776802293739E-3</v>
      </c>
      <c r="G50" s="3"/>
      <c r="H50" s="7">
        <v>170</v>
      </c>
      <c r="I50" s="3"/>
      <c r="J50" s="8">
        <f t="shared" si="5"/>
        <v>4.2500000000000003E-3</v>
      </c>
      <c r="K50" s="3"/>
      <c r="L50" s="7">
        <f t="shared" si="6"/>
        <v>-0.12000000000000455</v>
      </c>
      <c r="M50" s="3"/>
      <c r="N50" s="8">
        <f t="shared" si="7"/>
        <v>-7.0588235294120319E-4</v>
      </c>
      <c r="O50" s="12"/>
      <c r="P50" s="7">
        <v>1698.8</v>
      </c>
      <c r="Q50" s="3"/>
      <c r="R50" s="8">
        <f t="shared" si="8"/>
        <v>8.7116854172857808E-3</v>
      </c>
      <c r="S50" s="3"/>
      <c r="T50" s="7">
        <v>1700</v>
      </c>
      <c r="U50" s="3"/>
      <c r="V50" s="8">
        <f t="shared" si="9"/>
        <v>4.8113661449636315E-3</v>
      </c>
      <c r="W50" s="3"/>
      <c r="X50" s="7">
        <f t="shared" si="10"/>
        <v>-1.2000000000000455</v>
      </c>
      <c r="Y50" s="3"/>
      <c r="Z50" s="8">
        <f t="shared" si="11"/>
        <v>-7.0588235294120319E-4</v>
      </c>
    </row>
    <row r="51" spans="1:26" s="69" customFormat="1" ht="15" customHeight="1" outlineLevel="1" collapsed="1" x14ac:dyDescent="0.3">
      <c r="A51" s="25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3.9701223301105149E-2</v>
      </c>
      <c r="G51" s="2"/>
      <c r="H51" s="2">
        <f>SUM(OSRRefH22_4x_0)</f>
        <v>1300</v>
      </c>
      <c r="I51" s="2"/>
      <c r="J51" s="6">
        <f t="shared" si="5"/>
        <v>3.2500000000000001E-2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12147.66</v>
      </c>
      <c r="Q51" s="2"/>
      <c r="R51" s="6">
        <f t="shared" si="8"/>
        <v>6.2294909628058504E-2</v>
      </c>
      <c r="S51" s="2"/>
      <c r="T51" s="2">
        <f>SUM(OSRRefT22_4x_0)</f>
        <v>12800</v>
      </c>
      <c r="U51" s="2"/>
      <c r="V51" s="6">
        <f t="shared" si="9"/>
        <v>3.6226756856196758E-2</v>
      </c>
      <c r="W51" s="2"/>
      <c r="X51" s="2">
        <f t="shared" si="10"/>
        <v>-652.34000000000015</v>
      </c>
      <c r="Y51" s="2"/>
      <c r="Z51" s="6">
        <f t="shared" si="11"/>
        <v>-5.0964062500000011E-2</v>
      </c>
    </row>
    <row r="52" spans="1:26" s="70" customFormat="1" ht="15" hidden="1" customHeight="1" outlineLevel="2" x14ac:dyDescent="0.3">
      <c r="A52" s="26"/>
      <c r="B52" s="12" t="str">
        <f>CONCATENATE("          ","6351"," - ","EQUIPMENT RENTAL")</f>
        <v xml:space="preserve">          6351 - EQUIPMENT RENTAL</v>
      </c>
      <c r="C52" s="12"/>
      <c r="D52" s="7">
        <v>1205.6400000000001</v>
      </c>
      <c r="E52" s="3"/>
      <c r="F52" s="8">
        <f t="shared" si="4"/>
        <v>3.9701223301105149E-2</v>
      </c>
      <c r="G52" s="3"/>
      <c r="H52" s="7">
        <v>1300</v>
      </c>
      <c r="I52" s="3"/>
      <c r="J52" s="8">
        <f t="shared" si="5"/>
        <v>3.2500000000000001E-2</v>
      </c>
      <c r="K52" s="3"/>
      <c r="L52" s="7">
        <f t="shared" si="6"/>
        <v>-94.3599999999999</v>
      </c>
      <c r="M52" s="3"/>
      <c r="N52" s="8">
        <f t="shared" si="7"/>
        <v>-7.2584615384615303E-2</v>
      </c>
      <c r="O52" s="12"/>
      <c r="P52" s="7">
        <v>12147.66</v>
      </c>
      <c r="Q52" s="3"/>
      <c r="R52" s="8">
        <f t="shared" si="8"/>
        <v>6.2294909628058504E-2</v>
      </c>
      <c r="S52" s="3"/>
      <c r="T52" s="7">
        <v>12800</v>
      </c>
      <c r="U52" s="3"/>
      <c r="V52" s="8">
        <f t="shared" si="9"/>
        <v>3.6226756856196758E-2</v>
      </c>
      <c r="W52" s="3"/>
      <c r="X52" s="7">
        <f t="shared" si="10"/>
        <v>-652.34000000000015</v>
      </c>
      <c r="Y52" s="3"/>
      <c r="Z52" s="8">
        <f t="shared" si="11"/>
        <v>-5.0964062500000011E-2</v>
      </c>
    </row>
    <row r="53" spans="1:26" s="69" customFormat="1" ht="15" customHeight="1" outlineLevel="1" collapsed="1" x14ac:dyDescent="0.3">
      <c r="A53" s="25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-6034.4100000000008</v>
      </c>
      <c r="E53" s="2"/>
      <c r="F53" s="6">
        <f t="shared" si="4"/>
        <v>-0.1987106092203493</v>
      </c>
      <c r="G53" s="2"/>
      <c r="H53" s="2">
        <f>SUM(OSRRefH22_5x_0)</f>
        <v>-3000</v>
      </c>
      <c r="I53" s="2"/>
      <c r="J53" s="6">
        <f t="shared" si="5"/>
        <v>-7.4999999999999997E-2</v>
      </c>
      <c r="K53" s="2"/>
      <c r="L53" s="2">
        <f t="shared" si="6"/>
        <v>-3034.4100000000008</v>
      </c>
      <c r="M53" s="2"/>
      <c r="N53" s="6">
        <f t="shared" si="7"/>
        <v>1.0114700000000003</v>
      </c>
      <c r="O53" s="14"/>
      <c r="P53" s="2">
        <f>SUM(OSRRefP22_5x_0)</f>
        <v>-68634.239999999991</v>
      </c>
      <c r="Q53" s="2"/>
      <c r="R53" s="6">
        <f t="shared" si="8"/>
        <v>-0.35196603940104332</v>
      </c>
      <c r="S53" s="2"/>
      <c r="T53" s="2">
        <f>SUM(OSRRefT22_5x_0)</f>
        <v>-29700</v>
      </c>
      <c r="U53" s="2"/>
      <c r="V53" s="6">
        <f t="shared" si="9"/>
        <v>-8.4057396767894033E-2</v>
      </c>
      <c r="W53" s="2"/>
      <c r="X53" s="2">
        <f t="shared" si="10"/>
        <v>-38934.239999999991</v>
      </c>
      <c r="Y53" s="2"/>
      <c r="Z53" s="6">
        <f t="shared" si="11"/>
        <v>1.3109171717171715</v>
      </c>
    </row>
    <row r="54" spans="1:26" s="70" customFormat="1" ht="15" hidden="1" customHeight="1" outlineLevel="2" x14ac:dyDescent="0.3">
      <c r="A54" s="26"/>
      <c r="B54" s="12" t="str">
        <f>CONCATENATE("          ","6305"," - ","FREIGHT OUT")</f>
        <v xml:space="preserve">          6305 - FREIGHT OUT</v>
      </c>
      <c r="C54" s="12"/>
      <c r="D54" s="7">
        <v>7450.71</v>
      </c>
      <c r="E54" s="3"/>
      <c r="F54" s="8">
        <f t="shared" si="4"/>
        <v>0.24534877862527549</v>
      </c>
      <c r="G54" s="3"/>
      <c r="H54" s="7">
        <v>1500</v>
      </c>
      <c r="I54" s="3"/>
      <c r="J54" s="8">
        <f t="shared" si="5"/>
        <v>3.7499999999999999E-2</v>
      </c>
      <c r="K54" s="3"/>
      <c r="L54" s="7">
        <f t="shared" si="6"/>
        <v>5950.71</v>
      </c>
      <c r="M54" s="3"/>
      <c r="N54" s="8">
        <f t="shared" si="7"/>
        <v>3.9671400000000001</v>
      </c>
      <c r="O54" s="12"/>
      <c r="P54" s="7">
        <v>113053.12</v>
      </c>
      <c r="Q54" s="3"/>
      <c r="R54" s="8">
        <f t="shared" si="8"/>
        <v>0.57975230567615932</v>
      </c>
      <c r="S54" s="3"/>
      <c r="T54" s="7">
        <v>135800</v>
      </c>
      <c r="U54" s="3"/>
      <c r="V54" s="8">
        <f t="shared" si="9"/>
        <v>0.38434324852121249</v>
      </c>
      <c r="W54" s="3"/>
      <c r="X54" s="7">
        <f t="shared" si="10"/>
        <v>-22746.880000000005</v>
      </c>
      <c r="Y54" s="3"/>
      <c r="Z54" s="8">
        <f t="shared" si="11"/>
        <v>-0.16750279823269518</v>
      </c>
    </row>
    <row r="55" spans="1:26" s="70" customFormat="1" ht="15" hidden="1" customHeight="1" outlineLevel="2" x14ac:dyDescent="0.3">
      <c r="A55" s="26"/>
      <c r="B55" s="12" t="str">
        <f>CONCATENATE("          ","6307"," - ","POSTAGE")</f>
        <v xml:space="preserve">          6307 - POSTAGE</v>
      </c>
      <c r="C55" s="12"/>
      <c r="D55" s="7">
        <v>-13485.12</v>
      </c>
      <c r="E55" s="3"/>
      <c r="F55" s="8">
        <f t="shared" si="4"/>
        <v>-0.44405938784562482</v>
      </c>
      <c r="G55" s="3"/>
      <c r="H55" s="7">
        <v>-4500</v>
      </c>
      <c r="I55" s="3"/>
      <c r="J55" s="8">
        <f t="shared" si="5"/>
        <v>-0.1125</v>
      </c>
      <c r="K55" s="3"/>
      <c r="L55" s="7">
        <f t="shared" si="6"/>
        <v>-8985.1200000000008</v>
      </c>
      <c r="M55" s="3"/>
      <c r="N55" s="8">
        <f t="shared" si="7"/>
        <v>1.9966933333333334</v>
      </c>
      <c r="O55" s="12"/>
      <c r="P55" s="7">
        <v>-181687.36</v>
      </c>
      <c r="Q55" s="3"/>
      <c r="R55" s="8">
        <f t="shared" si="8"/>
        <v>-0.93171834507720264</v>
      </c>
      <c r="S55" s="3"/>
      <c r="T55" s="7">
        <v>-165500</v>
      </c>
      <c r="U55" s="3"/>
      <c r="V55" s="8">
        <f t="shared" si="9"/>
        <v>-0.46840064528910652</v>
      </c>
      <c r="W55" s="3"/>
      <c r="X55" s="7">
        <f t="shared" si="10"/>
        <v>-16187.359999999986</v>
      </c>
      <c r="Y55" s="3"/>
      <c r="Z55" s="8">
        <f t="shared" si="11"/>
        <v>9.7808821752265782E-2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4.6825052710876188E-4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7"/>
      <c r="E57" s="3"/>
      <c r="F57" s="8">
        <f t="shared" ref="F57:F73" si="12">IF(D$12=0,0,D57/D$12)</f>
        <v>0</v>
      </c>
      <c r="G57" s="3"/>
      <c r="H57" s="7"/>
      <c r="I57" s="3"/>
      <c r="J57" s="8">
        <f t="shared" ref="J57:J73" si="13">IF(H$12=0,0,H57/H$12)</f>
        <v>0</v>
      </c>
      <c r="K57" s="3"/>
      <c r="L57" s="7">
        <f t="shared" ref="L57:L73" si="14">+D57-H57</f>
        <v>0</v>
      </c>
      <c r="M57" s="3"/>
      <c r="N57" s="8">
        <f t="shared" ref="N57:N73" si="15">IF(H57=0,0,L57/H57)</f>
        <v>0</v>
      </c>
      <c r="O57" s="12"/>
      <c r="P57" s="7">
        <v>91.31</v>
      </c>
      <c r="Q57" s="3"/>
      <c r="R57" s="8">
        <f t="shared" ref="R57:R73" si="16">IF(P$12=0,0,P57/P$12)</f>
        <v>4.6825052710876188E-4</v>
      </c>
      <c r="S57" s="3"/>
      <c r="T57" s="7"/>
      <c r="U57" s="3"/>
      <c r="V57" s="8">
        <f t="shared" ref="V57:V73" si="17">IF(T$12=0,0,T57/T$12)</f>
        <v>0</v>
      </c>
      <c r="W57" s="3"/>
      <c r="X57" s="7">
        <f t="shared" ref="X57:X73" si="18">+P57-T57</f>
        <v>91.31</v>
      </c>
      <c r="Y57" s="3"/>
      <c r="Z57" s="8">
        <f t="shared" ref="Z57:Z73" si="19">IF(T57=0,0,X57/T57)</f>
        <v>0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2209.4499999999998</v>
      </c>
      <c r="E58" s="2"/>
      <c r="F58" s="6">
        <f t="shared" si="12"/>
        <v>7.2756268722526427E-2</v>
      </c>
      <c r="G58" s="2"/>
      <c r="H58" s="2">
        <f>SUM(OSRRefH22_7x_0)</f>
        <v>5600</v>
      </c>
      <c r="I58" s="2"/>
      <c r="J58" s="6">
        <f t="shared" si="13"/>
        <v>0.14000000000000001</v>
      </c>
      <c r="K58" s="2"/>
      <c r="L58" s="2">
        <f t="shared" si="14"/>
        <v>-3390.55</v>
      </c>
      <c r="M58" s="2"/>
      <c r="N58" s="6">
        <f t="shared" si="15"/>
        <v>-0.60545535714285714</v>
      </c>
      <c r="O58" s="14"/>
      <c r="P58" s="2">
        <f>SUM(OSRRefP22_7x_0)</f>
        <v>28305.040000000001</v>
      </c>
      <c r="Q58" s="2"/>
      <c r="R58" s="6">
        <f t="shared" si="16"/>
        <v>0.1451522275745766</v>
      </c>
      <c r="S58" s="2"/>
      <c r="T58" s="2">
        <f>SUM(OSRRefT22_7x_0)</f>
        <v>54900</v>
      </c>
      <c r="U58" s="2"/>
      <c r="V58" s="6">
        <f t="shared" si="17"/>
        <v>0.1553788243285314</v>
      </c>
      <c r="W58" s="2"/>
      <c r="X58" s="2">
        <f t="shared" si="18"/>
        <v>-26594.959999999999</v>
      </c>
      <c r="Y58" s="2"/>
      <c r="Z58" s="6">
        <f t="shared" si="19"/>
        <v>-0.48442550091074682</v>
      </c>
    </row>
    <row r="59" spans="1:26" s="70" customFormat="1" ht="15" hidden="1" customHeight="1" outlineLevel="2" x14ac:dyDescent="0.3">
      <c r="A59" s="26"/>
      <c r="B59" s="12" t="str">
        <f>CONCATENATE("          ","6371"," - ","COMPUTER SOFTWARE MAINTENANCE")</f>
        <v xml:space="preserve">          6371 - COMPUTER SOFTWARE MAINTENANCE</v>
      </c>
      <c r="C59" s="12"/>
      <c r="D59" s="7"/>
      <c r="E59" s="3"/>
      <c r="F59" s="8">
        <f t="shared" si="12"/>
        <v>0</v>
      </c>
      <c r="G59" s="3"/>
      <c r="H59" s="7"/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100</v>
      </c>
      <c r="U59" s="3"/>
      <c r="V59" s="8">
        <f t="shared" si="17"/>
        <v>2.8302153793903717E-4</v>
      </c>
      <c r="W59" s="3"/>
      <c r="X59" s="7">
        <f t="shared" si="18"/>
        <v>-100</v>
      </c>
      <c r="Y59" s="3"/>
      <c r="Z59" s="8">
        <f t="shared" si="19"/>
        <v>-1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>
        <v>770.04</v>
      </c>
      <c r="E60" s="3"/>
      <c r="F60" s="8">
        <f t="shared" si="12"/>
        <v>2.5357096638120007E-2</v>
      </c>
      <c r="G60" s="3"/>
      <c r="H60" s="7">
        <v>5600</v>
      </c>
      <c r="I60" s="3"/>
      <c r="J60" s="8">
        <f t="shared" si="13"/>
        <v>0.14000000000000001</v>
      </c>
      <c r="K60" s="3"/>
      <c r="L60" s="7">
        <f t="shared" si="14"/>
        <v>-4829.96</v>
      </c>
      <c r="M60" s="3"/>
      <c r="N60" s="8">
        <f t="shared" si="15"/>
        <v>-0.86249285714285717</v>
      </c>
      <c r="O60" s="12"/>
      <c r="P60" s="7">
        <v>9247.89</v>
      </c>
      <c r="Q60" s="3"/>
      <c r="R60" s="8">
        <f t="shared" si="16"/>
        <v>4.7424481077032607E-2</v>
      </c>
      <c r="S60" s="3"/>
      <c r="T60" s="7">
        <v>54800</v>
      </c>
      <c r="U60" s="3"/>
      <c r="V60" s="8">
        <f t="shared" si="17"/>
        <v>0.15509580279059237</v>
      </c>
      <c r="W60" s="3"/>
      <c r="X60" s="7">
        <f t="shared" si="18"/>
        <v>-45552.11</v>
      </c>
      <c r="Y60" s="3"/>
      <c r="Z60" s="8">
        <f t="shared" si="19"/>
        <v>-0.83124288321167883</v>
      </c>
    </row>
    <row r="61" spans="1:26" s="70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7">
        <v>1439.41</v>
      </c>
      <c r="E61" s="3"/>
      <c r="F61" s="8">
        <f t="shared" si="12"/>
        <v>4.7399172084406423E-2</v>
      </c>
      <c r="G61" s="3"/>
      <c r="H61" s="7"/>
      <c r="I61" s="3"/>
      <c r="J61" s="8">
        <f t="shared" si="13"/>
        <v>0</v>
      </c>
      <c r="K61" s="3"/>
      <c r="L61" s="7">
        <f t="shared" si="14"/>
        <v>1439.41</v>
      </c>
      <c r="M61" s="3"/>
      <c r="N61" s="8">
        <f t="shared" si="15"/>
        <v>0</v>
      </c>
      <c r="O61" s="12"/>
      <c r="P61" s="7">
        <v>19057.150000000001</v>
      </c>
      <c r="Q61" s="3"/>
      <c r="R61" s="8">
        <f t="shared" si="16"/>
        <v>9.7727746497543996E-2</v>
      </c>
      <c r="S61" s="3"/>
      <c r="T61" s="7"/>
      <c r="U61" s="3"/>
      <c r="V61" s="8">
        <f t="shared" si="17"/>
        <v>0</v>
      </c>
      <c r="W61" s="3"/>
      <c r="X61" s="7">
        <f t="shared" si="18"/>
        <v>19057.150000000001</v>
      </c>
      <c r="Y61" s="3"/>
      <c r="Z61" s="8">
        <f t="shared" si="19"/>
        <v>0</v>
      </c>
    </row>
    <row r="62" spans="1:26" s="69" customFormat="1" ht="15" customHeight="1" outlineLevel="1" collapsed="1" x14ac:dyDescent="0.3">
      <c r="A62" s="25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2045.03</v>
      </c>
      <c r="E62" s="2"/>
      <c r="F62" s="6">
        <f t="shared" si="12"/>
        <v>6.7341986569339984E-2</v>
      </c>
      <c r="G62" s="2"/>
      <c r="H62" s="2">
        <f>SUM(OSRRefH22_8x_0)</f>
        <v>700</v>
      </c>
      <c r="I62" s="2"/>
      <c r="J62" s="6">
        <f t="shared" si="13"/>
        <v>1.7500000000000002E-2</v>
      </c>
      <c r="K62" s="2"/>
      <c r="L62" s="2">
        <f t="shared" si="14"/>
        <v>1345.03</v>
      </c>
      <c r="M62" s="2"/>
      <c r="N62" s="6">
        <f t="shared" si="15"/>
        <v>1.9214714285714285</v>
      </c>
      <c r="O62" s="14"/>
      <c r="P62" s="2">
        <f>SUM(OSRRefP22_8x_0)</f>
        <v>12050.65</v>
      </c>
      <c r="Q62" s="2"/>
      <c r="R62" s="6">
        <f t="shared" si="16"/>
        <v>6.1797428698972742E-2</v>
      </c>
      <c r="S62" s="2"/>
      <c r="T62" s="2">
        <f>SUM(OSRRefT22_8x_0)</f>
        <v>34000</v>
      </c>
      <c r="U62" s="2"/>
      <c r="V62" s="6">
        <f t="shared" si="17"/>
        <v>9.6227322899272633E-2</v>
      </c>
      <c r="W62" s="2"/>
      <c r="X62" s="2">
        <f t="shared" si="18"/>
        <v>-21949.35</v>
      </c>
      <c r="Y62" s="2"/>
      <c r="Z62" s="6">
        <f t="shared" si="19"/>
        <v>-0.64556911764705882</v>
      </c>
    </row>
    <row r="63" spans="1:26" s="70" customFormat="1" ht="15" hidden="1" customHeight="1" outlineLevel="2" x14ac:dyDescent="0.3">
      <c r="A63" s="26"/>
      <c r="B63" s="12" t="str">
        <f>CONCATENATE("          ","6259"," - ","ROYALTY &amp; COMMISSIONS")</f>
        <v xml:space="preserve">          6259 - ROYALTY &amp; COMMISSIONS</v>
      </c>
      <c r="C63" s="12"/>
      <c r="D63" s="7">
        <v>2045.03</v>
      </c>
      <c r="E63" s="3"/>
      <c r="F63" s="8">
        <f t="shared" si="12"/>
        <v>6.7341986569339984E-2</v>
      </c>
      <c r="G63" s="3"/>
      <c r="H63" s="7">
        <v>700</v>
      </c>
      <c r="I63" s="3"/>
      <c r="J63" s="8">
        <f t="shared" si="13"/>
        <v>1.7500000000000002E-2</v>
      </c>
      <c r="K63" s="3"/>
      <c r="L63" s="7">
        <f t="shared" si="14"/>
        <v>1345.03</v>
      </c>
      <c r="M63" s="3"/>
      <c r="N63" s="8">
        <f t="shared" si="15"/>
        <v>1.9214714285714285</v>
      </c>
      <c r="O63" s="12"/>
      <c r="P63" s="7">
        <v>12050.65</v>
      </c>
      <c r="Q63" s="3"/>
      <c r="R63" s="8">
        <f t="shared" si="16"/>
        <v>6.1797428698972742E-2</v>
      </c>
      <c r="S63" s="3"/>
      <c r="T63" s="7">
        <v>34000</v>
      </c>
      <c r="U63" s="3"/>
      <c r="V63" s="8">
        <f t="shared" si="17"/>
        <v>9.6227322899272633E-2</v>
      </c>
      <c r="W63" s="3"/>
      <c r="X63" s="7">
        <f t="shared" si="18"/>
        <v>-21949.35</v>
      </c>
      <c r="Y63" s="3"/>
      <c r="Z63" s="8">
        <f t="shared" si="19"/>
        <v>-0.64556911764705882</v>
      </c>
    </row>
    <row r="64" spans="1:26" s="69" customFormat="1" ht="15" customHeight="1" outlineLevel="1" collapsed="1" x14ac:dyDescent="0.3">
      <c r="A64" s="2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SUM(OSRRefD22_9x_0)</f>
        <v>0</v>
      </c>
      <c r="E64" s="2"/>
      <c r="F64" s="6">
        <f t="shared" si="12"/>
        <v>0</v>
      </c>
      <c r="G64" s="2"/>
      <c r="H64" s="2">
        <f>SUM(OSRRefH22_9x_0)</f>
        <v>0</v>
      </c>
      <c r="I64" s="2"/>
      <c r="J64" s="6">
        <f t="shared" si="13"/>
        <v>0</v>
      </c>
      <c r="K64" s="2"/>
      <c r="L64" s="2">
        <f t="shared" si="14"/>
        <v>0</v>
      </c>
      <c r="M64" s="2"/>
      <c r="N64" s="6">
        <f t="shared" si="15"/>
        <v>0</v>
      </c>
      <c r="O64" s="14"/>
      <c r="P64" s="2">
        <f>SUM(OSRRefP22_9x_0)</f>
        <v>5.28</v>
      </c>
      <c r="Q64" s="2"/>
      <c r="R64" s="6">
        <f t="shared" si="16"/>
        <v>2.7076582883958632E-5</v>
      </c>
      <c r="S64" s="2"/>
      <c r="T64" s="2">
        <f>SUM(OSRRefT22_9x_0)</f>
        <v>0</v>
      </c>
      <c r="U64" s="2"/>
      <c r="V64" s="6">
        <f t="shared" si="17"/>
        <v>0</v>
      </c>
      <c r="W64" s="2"/>
      <c r="X64" s="2">
        <f t="shared" si="18"/>
        <v>5.28</v>
      </c>
      <c r="Y64" s="2"/>
      <c r="Z64" s="6">
        <f t="shared" si="19"/>
        <v>0</v>
      </c>
    </row>
    <row r="65" spans="1:26" s="70" customFormat="1" ht="15" hidden="1" customHeight="1" outlineLevel="2" x14ac:dyDescent="0.3">
      <c r="A65" s="26"/>
      <c r="B65" s="12" t="str">
        <f>CONCATENATE("          ","6258"," - ","MEMBERSHIP DUES")</f>
        <v xml:space="preserve">          6258 - MEMBERSHIP DUES</v>
      </c>
      <c r="C65" s="12"/>
      <c r="D65" s="7"/>
      <c r="E65" s="3"/>
      <c r="F65" s="8">
        <f t="shared" si="12"/>
        <v>0</v>
      </c>
      <c r="G65" s="3"/>
      <c r="H65" s="7"/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>
        <v>5.28</v>
      </c>
      <c r="Q65" s="3"/>
      <c r="R65" s="8">
        <f t="shared" si="16"/>
        <v>2.7076582883958632E-5</v>
      </c>
      <c r="S65" s="3"/>
      <c r="T65" s="7"/>
      <c r="U65" s="3"/>
      <c r="V65" s="8">
        <f t="shared" si="17"/>
        <v>0</v>
      </c>
      <c r="W65" s="3"/>
      <c r="X65" s="7">
        <f t="shared" si="18"/>
        <v>5.28</v>
      </c>
      <c r="Y65" s="3"/>
      <c r="Z65" s="8">
        <f t="shared" si="19"/>
        <v>0</v>
      </c>
    </row>
    <row r="66" spans="1:26" s="69" customFormat="1" ht="15" customHeight="1" outlineLevel="1" collapsed="1" x14ac:dyDescent="0.3">
      <c r="A66" s="25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SUM(OSRRefD22_10x_0)</f>
        <v>8058.9500000000007</v>
      </c>
      <c r="E66" s="2"/>
      <c r="F66" s="6">
        <f t="shared" si="12"/>
        <v>0.26537786861952273</v>
      </c>
      <c r="G66" s="2"/>
      <c r="H66" s="2">
        <f>SUM(OSRRefH22_10x_0)</f>
        <v>4600</v>
      </c>
      <c r="I66" s="2"/>
      <c r="J66" s="6">
        <f t="shared" si="13"/>
        <v>0.115</v>
      </c>
      <c r="K66" s="2"/>
      <c r="L66" s="2">
        <f t="shared" si="14"/>
        <v>3458.9500000000007</v>
      </c>
      <c r="M66" s="2"/>
      <c r="N66" s="6">
        <f t="shared" si="15"/>
        <v>0.75194565217391318</v>
      </c>
      <c r="O66" s="14"/>
      <c r="P66" s="2">
        <f>SUM(OSRRefP22_10x_0)</f>
        <v>43766</v>
      </c>
      <c r="Q66" s="2"/>
      <c r="R66" s="6">
        <f t="shared" si="16"/>
        <v>0.22443820577638893</v>
      </c>
      <c r="S66" s="2"/>
      <c r="T66" s="2">
        <f>SUM(OSRRefT22_10x_0)</f>
        <v>45450</v>
      </c>
      <c r="U66" s="2"/>
      <c r="V66" s="6">
        <f t="shared" si="17"/>
        <v>0.12863328899329238</v>
      </c>
      <c r="W66" s="2"/>
      <c r="X66" s="2">
        <f t="shared" si="18"/>
        <v>-1684</v>
      </c>
      <c r="Y66" s="2"/>
      <c r="Z66" s="6">
        <f t="shared" si="19"/>
        <v>-3.7051705170517049E-2</v>
      </c>
    </row>
    <row r="67" spans="1:26" s="70" customFormat="1" ht="15" hidden="1" customHeight="1" outlineLevel="2" x14ac:dyDescent="0.3">
      <c r="A67" s="26"/>
      <c r="B67" s="12" t="str">
        <f>CONCATENATE("          ","6234"," - ","EXPENDABLE SUPPLIES &amp; EQUIPMEN")</f>
        <v xml:space="preserve">          6234 - EXPENDABLE SUPPLIES &amp; EQUIPMEN</v>
      </c>
      <c r="C67" s="12"/>
      <c r="D67" s="7">
        <v>4993.3100000000004</v>
      </c>
      <c r="E67" s="3"/>
      <c r="F67" s="8">
        <f t="shared" si="12"/>
        <v>0.16442761962247548</v>
      </c>
      <c r="G67" s="3"/>
      <c r="H67" s="7"/>
      <c r="I67" s="3"/>
      <c r="J67" s="8">
        <f t="shared" si="13"/>
        <v>0</v>
      </c>
      <c r="K67" s="3"/>
      <c r="L67" s="7">
        <f t="shared" si="14"/>
        <v>4993.3100000000004</v>
      </c>
      <c r="M67" s="3"/>
      <c r="N67" s="8">
        <f t="shared" si="15"/>
        <v>0</v>
      </c>
      <c r="O67" s="12"/>
      <c r="P67" s="7">
        <v>4993.3100000000004</v>
      </c>
      <c r="Q67" s="3"/>
      <c r="R67" s="8">
        <f t="shared" si="16"/>
        <v>2.5606396227329447E-2</v>
      </c>
      <c r="S67" s="3"/>
      <c r="T67" s="7"/>
      <c r="U67" s="3"/>
      <c r="V67" s="8">
        <f t="shared" si="17"/>
        <v>0</v>
      </c>
      <c r="W67" s="3"/>
      <c r="X67" s="7">
        <f t="shared" si="18"/>
        <v>4993.3100000000004</v>
      </c>
      <c r="Y67" s="3"/>
      <c r="Z67" s="8">
        <f t="shared" si="19"/>
        <v>0</v>
      </c>
    </row>
    <row r="68" spans="1:26" s="70" customFormat="1" ht="15" hidden="1" customHeight="1" outlineLevel="2" x14ac:dyDescent="0.3">
      <c r="A68" s="26"/>
      <c r="B68" s="12" t="str">
        <f>CONCATENATE("          ","6241"," - ","OFFICE EXPENSE")</f>
        <v xml:space="preserve">          6241 - OFFICE EXPENSE</v>
      </c>
      <c r="C68" s="12"/>
      <c r="D68" s="7">
        <v>1786.97</v>
      </c>
      <c r="E68" s="3"/>
      <c r="F68" s="8">
        <f t="shared" si="12"/>
        <v>5.8844178197783641E-2</v>
      </c>
      <c r="G68" s="3"/>
      <c r="H68" s="7"/>
      <c r="I68" s="3"/>
      <c r="J68" s="8">
        <f t="shared" si="13"/>
        <v>0</v>
      </c>
      <c r="K68" s="3"/>
      <c r="L68" s="7">
        <f t="shared" si="14"/>
        <v>1786.97</v>
      </c>
      <c r="M68" s="3"/>
      <c r="N68" s="8">
        <f t="shared" si="15"/>
        <v>0</v>
      </c>
      <c r="O68" s="12"/>
      <c r="P68" s="7">
        <v>11008.35</v>
      </c>
      <c r="Q68" s="3"/>
      <c r="R68" s="8">
        <f t="shared" si="16"/>
        <v>5.6452367649739772E-2</v>
      </c>
      <c r="S68" s="3"/>
      <c r="T68" s="7">
        <v>50</v>
      </c>
      <c r="U68" s="3"/>
      <c r="V68" s="8">
        <f t="shared" si="17"/>
        <v>1.4151076896951859E-4</v>
      </c>
      <c r="W68" s="3"/>
      <c r="X68" s="7">
        <f t="shared" si="18"/>
        <v>10958.35</v>
      </c>
      <c r="Y68" s="3"/>
      <c r="Z68" s="8">
        <f t="shared" si="19"/>
        <v>219.167</v>
      </c>
    </row>
    <row r="69" spans="1:26" s="70" customFormat="1" ht="15" hidden="1" customHeight="1" outlineLevel="2" x14ac:dyDescent="0.3">
      <c r="A69" s="26"/>
      <c r="B69" s="12" t="str">
        <f>CONCATENATE("          ","6243"," - ","PAPER SUPPLIES")</f>
        <v xml:space="preserve">          6243 - PAPER SUPPLIES</v>
      </c>
      <c r="C69" s="12"/>
      <c r="D69" s="7">
        <v>410.22</v>
      </c>
      <c r="E69" s="3"/>
      <c r="F69" s="8">
        <f t="shared" si="12"/>
        <v>1.3508373828488898E-2</v>
      </c>
      <c r="G69" s="3"/>
      <c r="H69" s="7">
        <v>4200</v>
      </c>
      <c r="I69" s="3"/>
      <c r="J69" s="8">
        <f t="shared" si="13"/>
        <v>0.105</v>
      </c>
      <c r="K69" s="3"/>
      <c r="L69" s="7">
        <f t="shared" si="14"/>
        <v>-3789.7799999999997</v>
      </c>
      <c r="M69" s="3"/>
      <c r="N69" s="8">
        <f t="shared" si="15"/>
        <v>-0.90232857142857137</v>
      </c>
      <c r="O69" s="12"/>
      <c r="P69" s="7">
        <v>7245.36</v>
      </c>
      <c r="Q69" s="3"/>
      <c r="R69" s="8">
        <f t="shared" si="16"/>
        <v>3.7155225485628503E-2</v>
      </c>
      <c r="S69" s="3"/>
      <c r="T69" s="7">
        <v>34550</v>
      </c>
      <c r="U69" s="3"/>
      <c r="V69" s="8">
        <f t="shared" si="17"/>
        <v>9.7783941357937346E-2</v>
      </c>
      <c r="W69" s="3"/>
      <c r="X69" s="7">
        <f t="shared" si="18"/>
        <v>-27304.639999999999</v>
      </c>
      <c r="Y69" s="3"/>
      <c r="Z69" s="8">
        <f t="shared" si="19"/>
        <v>-0.790293487698987</v>
      </c>
    </row>
    <row r="70" spans="1:26" s="70" customFormat="1" ht="15" hidden="1" customHeight="1" outlineLevel="2" x14ac:dyDescent="0.3">
      <c r="A70" s="26"/>
      <c r="B70" s="12" t="str">
        <f>CONCATENATE("          ","6245"," - ","PRINTING")</f>
        <v xml:space="preserve">          6245 - PRINTING</v>
      </c>
      <c r="C70" s="12"/>
      <c r="D70" s="7">
        <v>-45.84</v>
      </c>
      <c r="E70" s="3"/>
      <c r="F70" s="8">
        <f t="shared" si="12"/>
        <v>-1.5094921171516043E-3</v>
      </c>
      <c r="G70" s="3"/>
      <c r="H70" s="7">
        <v>50</v>
      </c>
      <c r="I70" s="3"/>
      <c r="J70" s="8">
        <f t="shared" si="13"/>
        <v>1.25E-3</v>
      </c>
      <c r="K70" s="3"/>
      <c r="L70" s="7">
        <f t="shared" si="14"/>
        <v>-95.84</v>
      </c>
      <c r="M70" s="3"/>
      <c r="N70" s="8">
        <f t="shared" si="15"/>
        <v>-1.9168000000000001</v>
      </c>
      <c r="O70" s="12"/>
      <c r="P70" s="7">
        <v>5286.69</v>
      </c>
      <c r="Q70" s="3"/>
      <c r="R70" s="8">
        <f t="shared" si="16"/>
        <v>2.7110890145226371E-2</v>
      </c>
      <c r="S70" s="3"/>
      <c r="T70" s="7">
        <v>8045</v>
      </c>
      <c r="U70" s="3"/>
      <c r="V70" s="8">
        <f t="shared" si="17"/>
        <v>2.2769082727195539E-2</v>
      </c>
      <c r="W70" s="3"/>
      <c r="X70" s="7">
        <f t="shared" si="18"/>
        <v>-2758.3100000000004</v>
      </c>
      <c r="Y70" s="3"/>
      <c r="Z70" s="8">
        <f t="shared" si="19"/>
        <v>-0.34286016159105037</v>
      </c>
    </row>
    <row r="71" spans="1:26" s="70" customFormat="1" ht="15" hidden="1" customHeight="1" outlineLevel="2" x14ac:dyDescent="0.3">
      <c r="A71" s="26"/>
      <c r="B71" s="12" t="str">
        <f>CONCATENATE("          ","6247"," - ","STORE SUPPLIES")</f>
        <v xml:space="preserve">          6247 - STORE SUPPLIES</v>
      </c>
      <c r="C71" s="12"/>
      <c r="D71" s="7">
        <v>914.29</v>
      </c>
      <c r="E71" s="3"/>
      <c r="F71" s="8">
        <f t="shared" si="12"/>
        <v>3.0107189087926266E-2</v>
      </c>
      <c r="G71" s="3"/>
      <c r="H71" s="7">
        <v>350</v>
      </c>
      <c r="I71" s="3"/>
      <c r="J71" s="8">
        <f t="shared" si="13"/>
        <v>8.7500000000000008E-3</v>
      </c>
      <c r="K71" s="3"/>
      <c r="L71" s="7">
        <f t="shared" si="14"/>
        <v>564.29</v>
      </c>
      <c r="M71" s="3"/>
      <c r="N71" s="8">
        <f t="shared" si="15"/>
        <v>1.6122571428571428</v>
      </c>
      <c r="O71" s="12"/>
      <c r="P71" s="7">
        <v>15232.29</v>
      </c>
      <c r="Q71" s="3"/>
      <c r="R71" s="8">
        <f t="shared" si="16"/>
        <v>7.8113326268464817E-2</v>
      </c>
      <c r="S71" s="3"/>
      <c r="T71" s="7">
        <v>2805</v>
      </c>
      <c r="U71" s="3"/>
      <c r="V71" s="8">
        <f t="shared" si="17"/>
        <v>7.9387541391899921E-3</v>
      </c>
      <c r="W71" s="3"/>
      <c r="X71" s="7">
        <f t="shared" si="18"/>
        <v>12427.29</v>
      </c>
      <c r="Y71" s="3"/>
      <c r="Z71" s="8">
        <f t="shared" si="19"/>
        <v>4.4304064171122999</v>
      </c>
    </row>
    <row r="72" spans="1:26" s="69" customFormat="1" ht="15" customHeight="1" outlineLevel="1" collapsed="1" x14ac:dyDescent="0.3">
      <c r="A72" s="25"/>
      <c r="B72" s="14" t="str">
        <f>CONCATENATE("     ","Telephone/Data Lines                              ")</f>
        <v xml:space="preserve">     Telephone/Data Lines                              </v>
      </c>
      <c r="C72" s="14"/>
      <c r="D72" s="2">
        <f>SUM(OSRRefD22_11x_0)</f>
        <v>241.2</v>
      </c>
      <c r="E72" s="2"/>
      <c r="F72" s="6">
        <f t="shared" si="12"/>
        <v>7.9426155902479686E-3</v>
      </c>
      <c r="G72" s="2"/>
      <c r="H72" s="2">
        <f>SUM(OSRRefH22_11x_0)</f>
        <v>175</v>
      </c>
      <c r="I72" s="2"/>
      <c r="J72" s="6">
        <f t="shared" si="13"/>
        <v>4.3750000000000004E-3</v>
      </c>
      <c r="K72" s="2"/>
      <c r="L72" s="2">
        <f t="shared" si="14"/>
        <v>66.199999999999989</v>
      </c>
      <c r="M72" s="2"/>
      <c r="N72" s="6">
        <f t="shared" si="15"/>
        <v>0.37828571428571423</v>
      </c>
      <c r="O72" s="14"/>
      <c r="P72" s="2">
        <f>SUM(OSRRefP22_11x_0)</f>
        <v>1171.5999999999999</v>
      </c>
      <c r="Q72" s="2"/>
      <c r="R72" s="6">
        <f t="shared" si="16"/>
        <v>6.0081296414480926E-3</v>
      </c>
      <c r="S72" s="2"/>
      <c r="T72" s="2">
        <f>SUM(OSRRefT22_11x_0)</f>
        <v>1750</v>
      </c>
      <c r="U72" s="2"/>
      <c r="V72" s="6">
        <f t="shared" si="17"/>
        <v>4.9528769139331507E-3</v>
      </c>
      <c r="W72" s="2"/>
      <c r="X72" s="2">
        <f t="shared" si="18"/>
        <v>-578.40000000000009</v>
      </c>
      <c r="Y72" s="2"/>
      <c r="Z72" s="6">
        <f t="shared" si="19"/>
        <v>-0.33051428571428576</v>
      </c>
    </row>
    <row r="73" spans="1:26" s="70" customFormat="1" ht="15" hidden="1" customHeight="1" outlineLevel="2" x14ac:dyDescent="0.3">
      <c r="A73" s="26"/>
      <c r="B73" s="12" t="str">
        <f>CONCATENATE("          ","6309"," - ","TELEPHONE")</f>
        <v xml:space="preserve">          6309 - TELEPHONE</v>
      </c>
      <c r="C73" s="12"/>
      <c r="D73" s="7">
        <v>241.2</v>
      </c>
      <c r="E73" s="3"/>
      <c r="F73" s="8">
        <f t="shared" si="12"/>
        <v>7.9426155902479686E-3</v>
      </c>
      <c r="G73" s="3"/>
      <c r="H73" s="7">
        <v>175</v>
      </c>
      <c r="I73" s="3"/>
      <c r="J73" s="8">
        <f t="shared" si="13"/>
        <v>4.3750000000000004E-3</v>
      </c>
      <c r="K73" s="3"/>
      <c r="L73" s="7">
        <f t="shared" si="14"/>
        <v>66.199999999999989</v>
      </c>
      <c r="M73" s="3"/>
      <c r="N73" s="8">
        <f t="shared" si="15"/>
        <v>0.37828571428571423</v>
      </c>
      <c r="O73" s="12"/>
      <c r="P73" s="7">
        <v>1171.5999999999999</v>
      </c>
      <c r="Q73" s="3"/>
      <c r="R73" s="8">
        <f t="shared" si="16"/>
        <v>6.0081296414480926E-3</v>
      </c>
      <c r="S73" s="3"/>
      <c r="T73" s="7">
        <v>1750</v>
      </c>
      <c r="U73" s="3"/>
      <c r="V73" s="8">
        <f t="shared" si="17"/>
        <v>4.9528769139331507E-3</v>
      </c>
      <c r="W73" s="3"/>
      <c r="X73" s="7">
        <f t="shared" si="18"/>
        <v>-578.40000000000009</v>
      </c>
      <c r="Y73" s="3"/>
      <c r="Z73" s="8">
        <f t="shared" si="19"/>
        <v>-0.33051428571428576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collapsed="1" x14ac:dyDescent="0.3">
      <c r="A75" s="11"/>
      <c r="B75" s="28" t="s">
        <v>291</v>
      </c>
      <c r="C75" s="11"/>
      <c r="D75" s="5">
        <f>SUM(OSRRefD25x_0)</f>
        <v>3060.54</v>
      </c>
      <c r="E75" s="5"/>
      <c r="F75" s="13">
        <f>IF(D$12=0,0,D75/D$12)</f>
        <v>0.10078230812013897</v>
      </c>
      <c r="G75" s="5"/>
      <c r="H75" s="5">
        <f>SUM(OSRRefH25x_0)</f>
        <v>0</v>
      </c>
      <c r="I75" s="5"/>
      <c r="J75" s="13">
        <f>IF(H$12=0,0,H75/H$12)</f>
        <v>0</v>
      </c>
      <c r="K75" s="5"/>
      <c r="L75" s="5">
        <f>+D75-H75</f>
        <v>3060.54</v>
      </c>
      <c r="M75" s="5"/>
      <c r="N75" s="13">
        <f>IF(H75=0,0,L75/H75)</f>
        <v>0</v>
      </c>
      <c r="O75" s="11"/>
      <c r="P75" s="5">
        <f>SUM(OSRRefP25x_0)</f>
        <v>18195.98</v>
      </c>
      <c r="Q75" s="5"/>
      <c r="R75" s="13">
        <f>IF(P$12=0,0,P75/P$12)</f>
        <v>9.331154557288894E-2</v>
      </c>
      <c r="S75" s="5"/>
      <c r="T75" s="5">
        <f>SUM(OSRRefT25x_0)</f>
        <v>33910</v>
      </c>
      <c r="U75" s="5"/>
      <c r="V75" s="13">
        <f>IF(T$12=0,0,T75/T$12)</f>
        <v>9.59726035151275E-2</v>
      </c>
      <c r="W75" s="5"/>
      <c r="X75" s="5">
        <f>+P75-T75</f>
        <v>-15714.02</v>
      </c>
      <c r="Y75" s="5"/>
      <c r="Z75" s="13">
        <f>IF(T75=0,0,X75/T75)</f>
        <v>-0.46340371571807726</v>
      </c>
    </row>
    <row r="76" spans="1:26" s="70" customFormat="1" ht="15" hidden="1" customHeight="1" outlineLevel="1" x14ac:dyDescent="0.3">
      <c r="A76" s="42"/>
      <c r="B76" s="12" t="str">
        <f>CONCATENATE("          ","9150"," - ","MISC. INCOME")</f>
        <v xml:space="preserve">          9150 - MISC. INCOME</v>
      </c>
      <c r="C76" s="12"/>
      <c r="D76" s="3">
        <f>--3060.54</f>
        <v>3060.54</v>
      </c>
      <c r="E76" s="3"/>
      <c r="F76" s="20">
        <f>IF(D$12=0,0,D76/D$12)</f>
        <v>0.10078230812013897</v>
      </c>
      <c r="G76" s="3"/>
      <c r="H76" s="3"/>
      <c r="I76" s="3"/>
      <c r="J76" s="20">
        <f>IF(H$12=0,0,H76/H$12)</f>
        <v>0</v>
      </c>
      <c r="K76" s="3"/>
      <c r="L76" s="3">
        <f>+D76-H76</f>
        <v>3060.54</v>
      </c>
      <c r="M76" s="3"/>
      <c r="N76" s="20">
        <f>IF(H76=0,0,L76/H76)</f>
        <v>0</v>
      </c>
      <c r="O76" s="12"/>
      <c r="P76" s="3">
        <f>--18195.98</f>
        <v>18195.98</v>
      </c>
      <c r="Q76" s="3"/>
      <c r="R76" s="20">
        <f>IF(P$12=0,0,P76/P$12)</f>
        <v>9.331154557288894E-2</v>
      </c>
      <c r="S76" s="3"/>
      <c r="T76" s="3">
        <v>33910</v>
      </c>
      <c r="U76" s="3"/>
      <c r="V76" s="20">
        <f>IF(T$12=0,0,T76/T$12)</f>
        <v>9.59726035151275E-2</v>
      </c>
      <c r="W76" s="3"/>
      <c r="X76" s="3">
        <f>+P76-T76</f>
        <v>-15714.02</v>
      </c>
      <c r="Y76" s="3"/>
      <c r="Z76" s="20">
        <f>IF(T76=0,0,X76/T76)</f>
        <v>-0.46340371571807726</v>
      </c>
    </row>
    <row r="77" spans="1:26" ht="15" customHeight="1" x14ac:dyDescent="0.3">
      <c r="A77" s="10"/>
      <c r="B77" s="11"/>
      <c r="C77" s="11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O77" s="11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3" customFormat="1" ht="15" customHeight="1" x14ac:dyDescent="0.3">
      <c r="A78" s="11"/>
      <c r="B78" s="27" t="s">
        <v>292</v>
      </c>
      <c r="C78" s="27"/>
      <c r="D78" s="21">
        <f>+D23-D25+D75</f>
        <v>5044.1500000000005</v>
      </c>
      <c r="E78" s="15"/>
      <c r="F78" s="23">
        <f>IF(D$12=0,0,D78/D$12)</f>
        <v>0.16610175965816459</v>
      </c>
      <c r="G78" s="15"/>
      <c r="H78" s="21">
        <f>+H23-H25+H75</f>
        <v>13046.269044480749</v>
      </c>
      <c r="I78" s="15"/>
      <c r="J78" s="23">
        <f>IF(H$12=0,0,H78/H$12)</f>
        <v>0.32615672611201874</v>
      </c>
      <c r="K78" s="17"/>
      <c r="L78" s="21">
        <f>+D78-H78</f>
        <v>-8002.119044480748</v>
      </c>
      <c r="M78" s="17"/>
      <c r="N78" s="23">
        <f>IF(H78=0,0,L78/H78)</f>
        <v>-0.61336455788224464</v>
      </c>
      <c r="O78" s="28"/>
      <c r="P78" s="21">
        <f>+P23-P25+P75</f>
        <v>-32081.699999999964</v>
      </c>
      <c r="Q78" s="15"/>
      <c r="R78" s="23">
        <f>IF(P$12=0,0,P78/P$12)</f>
        <v>-0.1645194714220255</v>
      </c>
      <c r="S78" s="15"/>
      <c r="T78" s="21">
        <f>+T23-T25+T75</f>
        <v>83987.323805538705</v>
      </c>
      <c r="U78" s="15"/>
      <c r="V78" s="23">
        <f>IF(T$12=0,0,T78/T$12)</f>
        <v>0.23770221550827472</v>
      </c>
      <c r="W78" s="17"/>
      <c r="X78" s="21">
        <f>+P78-T78</f>
        <v>-116069.02380553867</v>
      </c>
      <c r="Y78" s="17"/>
      <c r="Z78" s="23">
        <f>IF(T78=0,0,X78/T78)</f>
        <v>-1.3819826438842224</v>
      </c>
    </row>
    <row r="79" spans="1:26" ht="15" customHeight="1" x14ac:dyDescent="0.3">
      <c r="A79" s="10"/>
      <c r="B79" s="11"/>
      <c r="C79" s="10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3">
      <c r="A80" s="49"/>
      <c r="B80" s="11" t="s">
        <v>293</v>
      </c>
      <c r="C80" s="11"/>
      <c r="D80" s="5">
        <v>2441.89</v>
      </c>
      <c r="E80" s="5"/>
      <c r="F80" s="13">
        <f>IF(D$12=0,0,D80/D$12)</f>
        <v>8.0410421159496731E-2</v>
      </c>
      <c r="G80" s="5"/>
      <c r="H80" s="5">
        <v>5307</v>
      </c>
      <c r="I80" s="5"/>
      <c r="J80" s="13">
        <f>IF(H$12=0,0,H80/H$12)</f>
        <v>0.13267499999999999</v>
      </c>
      <c r="K80" s="5"/>
      <c r="L80" s="5">
        <f>+D80-H80</f>
        <v>-2865.11</v>
      </c>
      <c r="M80" s="5"/>
      <c r="N80" s="13">
        <f>IF(H80=0,0,L80/H80)</f>
        <v>-0.53987375164876583</v>
      </c>
      <c r="O80" s="11"/>
      <c r="P80" s="5">
        <v>22090.63</v>
      </c>
      <c r="Q80" s="5"/>
      <c r="R80" s="13">
        <f>IF(P$12=0,0,P80/P$12)</f>
        <v>0.11328385874126196</v>
      </c>
      <c r="S80" s="5"/>
      <c r="T80" s="5">
        <v>43466</v>
      </c>
      <c r="U80" s="5"/>
      <c r="V80" s="13">
        <f>IF(T$12=0,0,T80/T$12)</f>
        <v>0.12301814168058189</v>
      </c>
      <c r="W80" s="5"/>
      <c r="X80" s="5">
        <f>+P80-T80</f>
        <v>-21375.37</v>
      </c>
      <c r="Y80" s="5"/>
      <c r="Z80" s="13">
        <f>IF(T80=0,0,X80/T80)</f>
        <v>-0.49177218975751158</v>
      </c>
    </row>
    <row r="81" spans="1:26" ht="15" customHeight="1" x14ac:dyDescent="0.3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294</v>
      </c>
      <c r="C82" s="27"/>
      <c r="D82" s="29">
        <f>+D78-D80</f>
        <v>2602.2600000000007</v>
      </c>
      <c r="E82" s="15"/>
      <c r="F82" s="30">
        <f>IF(D$12=0,0,D82/D$12)</f>
        <v>8.5691338498667849E-2</v>
      </c>
      <c r="G82" s="15"/>
      <c r="H82" s="29">
        <f>+H78-H80</f>
        <v>7739.2690444807486</v>
      </c>
      <c r="I82" s="15"/>
      <c r="J82" s="30">
        <f>IF(H$12=0,0,H82/H$12)</f>
        <v>0.19348172611201872</v>
      </c>
      <c r="K82" s="17"/>
      <c r="L82" s="29">
        <f>D82-H82</f>
        <v>-5137.0090444807483</v>
      </c>
      <c r="M82" s="17"/>
      <c r="N82" s="30">
        <f>IF(H82=0,0,L82/H82)</f>
        <v>-0.66375894350697118</v>
      </c>
      <c r="O82" s="28"/>
      <c r="P82" s="29">
        <f>+P78-P80</f>
        <v>-54172.329999999965</v>
      </c>
      <c r="Q82" s="15"/>
      <c r="R82" s="30">
        <f>IF(P$12=0,0,P82/P$12)</f>
        <v>-0.27780333016328745</v>
      </c>
      <c r="S82" s="15"/>
      <c r="T82" s="29">
        <f>+T78-T80</f>
        <v>40521.323805538705</v>
      </c>
      <c r="U82" s="15"/>
      <c r="V82" s="30">
        <f>IF(T$12=0,0,T82/T$12)</f>
        <v>0.11468407382769283</v>
      </c>
      <c r="W82" s="17"/>
      <c r="X82" s="29">
        <f>P82-T82</f>
        <v>-94693.653805538663</v>
      </c>
      <c r="Y82" s="17"/>
      <c r="Z82" s="30">
        <f>IF(T82=0,0,X82/T82)</f>
        <v>-2.336884507030724</v>
      </c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7" t="s">
        <v>297</v>
      </c>
      <c r="C85" s="27"/>
      <c r="D85" s="32">
        <f>SUM(D82:D84)</f>
        <v>2602.2600000000007</v>
      </c>
      <c r="E85" s="15"/>
      <c r="F85" s="34">
        <f>IF(D$12=0,0,D85/D$12)</f>
        <v>8.5691338498667849E-2</v>
      </c>
      <c r="G85" s="15"/>
      <c r="H85" s="32">
        <f>SUM(H82:H84)</f>
        <v>7739.2690444807486</v>
      </c>
      <c r="I85" s="15"/>
      <c r="J85" s="34">
        <f>IF(H$12=0,0,H85/H$12)</f>
        <v>0.19348172611201872</v>
      </c>
      <c r="K85" s="17"/>
      <c r="L85" s="32">
        <f>+D85-H85</f>
        <v>-5137.0090444807483</v>
      </c>
      <c r="M85" s="17"/>
      <c r="N85" s="34">
        <f>IF(H85=0,0,L85/H85)</f>
        <v>-0.66375894350697118</v>
      </c>
      <c r="O85" s="28"/>
      <c r="P85" s="32">
        <f>SUM(P82:P84)</f>
        <v>-54172.329999999965</v>
      </c>
      <c r="Q85" s="15"/>
      <c r="R85" s="34">
        <f>IF(P$12=0,0,P85/P$12)</f>
        <v>-0.27780333016328745</v>
      </c>
      <c r="S85" s="15"/>
      <c r="T85" s="32">
        <f>SUM(T82:T84)</f>
        <v>40521.323805538705</v>
      </c>
      <c r="U85" s="15"/>
      <c r="V85" s="34">
        <f>IF(T$12=0,0,T85/T$12)</f>
        <v>0.11468407382769283</v>
      </c>
      <c r="W85" s="17"/>
      <c r="X85" s="32">
        <f>+P85-T85</f>
        <v>-94693.653805538663</v>
      </c>
      <c r="Y85" s="17"/>
      <c r="Z85" s="34">
        <f>IF(T85=0,0,X85/T85)</f>
        <v>-2.336884507030724</v>
      </c>
    </row>
    <row r="86" spans="1:26" ht="15" customHeight="1" x14ac:dyDescent="0.3">
      <c r="A86" s="10"/>
      <c r="C86" s="10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6">
        <v>44694.888552430559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0" t="s">
        <v>298</v>
      </c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A89" s="10"/>
      <c r="B89" s="51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2D0E-FE46-4F02-CA39-B1B1ED372D32}">
  <sheetPr>
    <tabColor rgb="FFFFC00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315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320045.63000000006</v>
      </c>
      <c r="E12" s="5"/>
      <c r="F12" s="13"/>
      <c r="G12" s="5"/>
      <c r="H12" s="5">
        <f>SUM(OSRRefH13x_0)</f>
        <v>206230</v>
      </c>
      <c r="I12" s="5"/>
      <c r="J12" s="13"/>
      <c r="K12" s="5"/>
      <c r="L12" s="5">
        <f t="shared" ref="L12:L17" si="0">+D12-H12</f>
        <v>113815.63000000006</v>
      </c>
      <c r="M12" s="5"/>
      <c r="N12" s="13">
        <f t="shared" ref="N12:N17" si="1">IF(H12=0,0,L12/H12)</f>
        <v>0.55188687387867941</v>
      </c>
      <c r="O12" s="11"/>
      <c r="P12" s="5">
        <f>SUM(OSRRefP13x_0)</f>
        <v>2070517.48</v>
      </c>
      <c r="Q12" s="5"/>
      <c r="R12" s="13"/>
      <c r="S12" s="5"/>
      <c r="T12" s="5">
        <f>SUM(OSRRefT13x_0)</f>
        <v>1791893</v>
      </c>
      <c r="U12" s="5"/>
      <c r="V12" s="13"/>
      <c r="W12" s="5"/>
      <c r="X12" s="5">
        <f t="shared" ref="X12:X17" si="2">+P12-T12</f>
        <v>278624.48</v>
      </c>
      <c r="Y12" s="5"/>
      <c r="Z12" s="13">
        <f t="shared" ref="Z12:Z17" si="3">IF(T12=0,0,X12/T12)</f>
        <v>0.15549169509563349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--489932.51</f>
        <v>489932.51</v>
      </c>
      <c r="E13" s="3"/>
      <c r="F13" s="20"/>
      <c r="G13" s="3"/>
      <c r="H13" s="3">
        <v>188537</v>
      </c>
      <c r="I13" s="3"/>
      <c r="J13" s="20"/>
      <c r="K13" s="3"/>
      <c r="L13" s="3">
        <f t="shared" si="0"/>
        <v>301395.51</v>
      </c>
      <c r="M13" s="3"/>
      <c r="N13" s="20">
        <f t="shared" si="1"/>
        <v>1.5986013885868557</v>
      </c>
      <c r="O13" s="12"/>
      <c r="P13" s="3">
        <f>--1948608.19</f>
        <v>1948608.19</v>
      </c>
      <c r="Q13" s="3"/>
      <c r="R13" s="20"/>
      <c r="S13" s="3"/>
      <c r="T13" s="3">
        <v>1665333</v>
      </c>
      <c r="U13" s="3"/>
      <c r="V13" s="20"/>
      <c r="W13" s="3"/>
      <c r="X13" s="3">
        <f t="shared" si="2"/>
        <v>283275.18999999994</v>
      </c>
      <c r="Y13" s="3"/>
      <c r="Z13" s="20">
        <f t="shared" si="3"/>
        <v>0.17010122900344854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--52054.68</f>
        <v>52054.68</v>
      </c>
      <c r="E14" s="3"/>
      <c r="F14" s="20"/>
      <c r="G14" s="3"/>
      <c r="H14" s="3">
        <v>17693</v>
      </c>
      <c r="I14" s="3"/>
      <c r="J14" s="20"/>
      <c r="K14" s="3"/>
      <c r="L14" s="3">
        <f t="shared" si="0"/>
        <v>34361.68</v>
      </c>
      <c r="M14" s="3"/>
      <c r="N14" s="20">
        <f t="shared" si="1"/>
        <v>1.942105917594529</v>
      </c>
      <c r="O14" s="12"/>
      <c r="P14" s="3">
        <f>--625634</f>
        <v>625634</v>
      </c>
      <c r="Q14" s="3"/>
      <c r="R14" s="20"/>
      <c r="S14" s="3"/>
      <c r="T14" s="3">
        <v>126560</v>
      </c>
      <c r="U14" s="3"/>
      <c r="V14" s="20"/>
      <c r="W14" s="3"/>
      <c r="X14" s="3">
        <f t="shared" si="2"/>
        <v>499074</v>
      </c>
      <c r="Y14" s="3"/>
      <c r="Z14" s="20">
        <f t="shared" si="3"/>
        <v>3.9433786346396964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-221809.74</f>
        <v>-221809.74</v>
      </c>
      <c r="E15" s="3"/>
      <c r="F15" s="20"/>
      <c r="G15" s="3"/>
      <c r="H15" s="3"/>
      <c r="I15" s="3"/>
      <c r="J15" s="20"/>
      <c r="K15" s="3"/>
      <c r="L15" s="3">
        <f t="shared" si="0"/>
        <v>-221809.74</v>
      </c>
      <c r="M15" s="3"/>
      <c r="N15" s="20">
        <f t="shared" si="1"/>
        <v>0</v>
      </c>
      <c r="O15" s="12"/>
      <c r="P15" s="3">
        <f>-501319.95</f>
        <v>-501319.95</v>
      </c>
      <c r="Q15" s="3"/>
      <c r="R15" s="20"/>
      <c r="S15" s="3"/>
      <c r="T15" s="3"/>
      <c r="U15" s="3"/>
      <c r="V15" s="20"/>
      <c r="W15" s="3"/>
      <c r="X15" s="3">
        <f t="shared" si="2"/>
        <v>-501319.95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-131.82</f>
        <v>-131.82</v>
      </c>
      <c r="E17" s="3"/>
      <c r="F17" s="20"/>
      <c r="G17" s="3"/>
      <c r="H17" s="3"/>
      <c r="I17" s="3"/>
      <c r="J17" s="20"/>
      <c r="K17" s="3"/>
      <c r="L17" s="3">
        <f t="shared" si="0"/>
        <v>-131.82</v>
      </c>
      <c r="M17" s="3"/>
      <c r="N17" s="20">
        <f t="shared" si="1"/>
        <v>0</v>
      </c>
      <c r="O17" s="12"/>
      <c r="P17" s="3">
        <f>-1290.24</f>
        <v>-1290.24</v>
      </c>
      <c r="Q17" s="3"/>
      <c r="R17" s="20"/>
      <c r="S17" s="3"/>
      <c r="T17" s="3"/>
      <c r="U17" s="3"/>
      <c r="V17" s="20"/>
      <c r="W17" s="3"/>
      <c r="X17" s="3">
        <f t="shared" si="2"/>
        <v>-1290.24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291821.21000000002</v>
      </c>
      <c r="E19" s="5"/>
      <c r="F19" s="13">
        <f t="shared" ref="F19:F29" si="4">IF(D$12=0,0,D19/D$12)</f>
        <v>0.91181126266276458</v>
      </c>
      <c r="G19" s="5"/>
      <c r="H19" s="5">
        <f>SUM(OSRRefH16x_0)</f>
        <v>184575</v>
      </c>
      <c r="I19" s="5"/>
      <c r="J19" s="13">
        <f t="shared" ref="J19:J29" si="5">IF(H$12=0,0,H19/H$12)</f>
        <v>0.89499587838820738</v>
      </c>
      <c r="K19" s="5"/>
      <c r="L19" s="5">
        <f t="shared" ref="L19:L29" si="6">+D19-H19</f>
        <v>107246.21000000002</v>
      </c>
      <c r="M19" s="5"/>
      <c r="N19" s="13">
        <f t="shared" ref="N19:N29" si="7">IF(H19=0,0,L19/H19)</f>
        <v>0.58104407422457005</v>
      </c>
      <c r="O19" s="11"/>
      <c r="P19" s="5">
        <f>SUM(OSRRefP16x_0)</f>
        <v>1768593.54</v>
      </c>
      <c r="Q19" s="5"/>
      <c r="R19" s="13">
        <f t="shared" ref="R19:R29" si="8">IF(P$12=0,0,P19/P$12)</f>
        <v>0.85417947787622639</v>
      </c>
      <c r="S19" s="5"/>
      <c r="T19" s="5">
        <f>SUM(OSRRefT16x_0)</f>
        <v>1603741</v>
      </c>
      <c r="U19" s="5"/>
      <c r="V19" s="13">
        <f t="shared" ref="V19:V29" si="9">IF(T$12=0,0,T19/T$12)</f>
        <v>0.89499819464666697</v>
      </c>
      <c r="W19" s="5"/>
      <c r="X19" s="5">
        <f t="shared" ref="X19:X29" si="10">+P19-T19</f>
        <v>164852.54000000004</v>
      </c>
      <c r="Y19" s="5"/>
      <c r="Z19" s="13">
        <f t="shared" ref="Z19:Z29" si="11">IF(T19=0,0,X19/T19)</f>
        <v>0.10279249579576755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208073.68</v>
      </c>
      <c r="E20" s="3"/>
      <c r="F20" s="20">
        <f t="shared" si="4"/>
        <v>0.65013754444952099</v>
      </c>
      <c r="G20" s="3"/>
      <c r="H20" s="3">
        <v>184575</v>
      </c>
      <c r="I20" s="3"/>
      <c r="J20" s="20">
        <f t="shared" si="5"/>
        <v>0.89499587838820738</v>
      </c>
      <c r="K20" s="3"/>
      <c r="L20" s="3">
        <f t="shared" si="6"/>
        <v>23498.679999999993</v>
      </c>
      <c r="M20" s="3"/>
      <c r="N20" s="20">
        <f t="shared" si="7"/>
        <v>0.1273123662467831</v>
      </c>
      <c r="O20" s="12"/>
      <c r="P20" s="3">
        <v>1758099.22</v>
      </c>
      <c r="Q20" s="3"/>
      <c r="R20" s="20">
        <f t="shared" si="8"/>
        <v>0.8491110251336782</v>
      </c>
      <c r="S20" s="3"/>
      <c r="T20" s="3">
        <v>1603741</v>
      </c>
      <c r="U20" s="3"/>
      <c r="V20" s="20">
        <f t="shared" si="9"/>
        <v>0.89499819464666697</v>
      </c>
      <c r="W20" s="3"/>
      <c r="X20" s="3">
        <f t="shared" si="10"/>
        <v>154358.21999999997</v>
      </c>
      <c r="Y20" s="3"/>
      <c r="Z20" s="20">
        <f t="shared" si="11"/>
        <v>9.624884566772314E-2</v>
      </c>
    </row>
    <row r="21" spans="1:26" s="70" customFormat="1" ht="15" hidden="1" customHeight="1" outlineLevel="1" x14ac:dyDescent="0.3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-110193.26</v>
      </c>
      <c r="Q22" s="3"/>
      <c r="R22" s="20">
        <f t="shared" si="8"/>
        <v>-5.3220154412799259E-2</v>
      </c>
      <c r="S22" s="3"/>
      <c r="T22" s="3"/>
      <c r="U22" s="3"/>
      <c r="V22" s="20">
        <f t="shared" si="9"/>
        <v>0</v>
      </c>
      <c r="W22" s="3"/>
      <c r="X22" s="3">
        <f t="shared" si="10"/>
        <v>-110193.26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","5200"," - ","PURCHASES OFFSET")</f>
        <v xml:space="preserve">          5200 - PURCHASES OFFSET</v>
      </c>
      <c r="C26" s="12"/>
      <c r="D26" s="3">
        <v>-208105.25</v>
      </c>
      <c r="E26" s="3"/>
      <c r="F26" s="20">
        <f t="shared" si="4"/>
        <v>-0.65023618663376204</v>
      </c>
      <c r="G26" s="3"/>
      <c r="H26" s="3"/>
      <c r="I26" s="3"/>
      <c r="J26" s="20">
        <f t="shared" si="5"/>
        <v>0</v>
      </c>
      <c r="K26" s="3"/>
      <c r="L26" s="3">
        <f t="shared" si="6"/>
        <v>-208105.25</v>
      </c>
      <c r="M26" s="3"/>
      <c r="N26" s="20">
        <f t="shared" si="7"/>
        <v>0</v>
      </c>
      <c r="O26" s="12"/>
      <c r="P26" s="3">
        <v>-1758302.34</v>
      </c>
      <c r="Q26" s="3"/>
      <c r="R26" s="20">
        <f t="shared" si="8"/>
        <v>-0.84920912621322087</v>
      </c>
      <c r="S26" s="3"/>
      <c r="T26" s="3"/>
      <c r="U26" s="3"/>
      <c r="V26" s="20">
        <f t="shared" si="9"/>
        <v>0</v>
      </c>
      <c r="W26" s="3"/>
      <c r="X26" s="3">
        <f t="shared" si="10"/>
        <v>-1758302.34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","5300"," - ","COG$ OFFSET")</f>
        <v xml:space="preserve">          5300 - COG$ OFFSET</v>
      </c>
      <c r="C27" s="12"/>
      <c r="D27" s="3">
        <v>291821.21000000002</v>
      </c>
      <c r="E27" s="3"/>
      <c r="F27" s="20">
        <f t="shared" si="4"/>
        <v>0.91181126266276458</v>
      </c>
      <c r="G27" s="3"/>
      <c r="H27" s="3"/>
      <c r="I27" s="3"/>
      <c r="J27" s="20">
        <f t="shared" si="5"/>
        <v>0</v>
      </c>
      <c r="K27" s="3"/>
      <c r="L27" s="3">
        <f t="shared" si="6"/>
        <v>291821.21000000002</v>
      </c>
      <c r="M27" s="3"/>
      <c r="N27" s="20">
        <f t="shared" si="7"/>
        <v>0</v>
      </c>
      <c r="O27" s="12"/>
      <c r="P27" s="3">
        <v>1878786.8</v>
      </c>
      <c r="Q27" s="3"/>
      <c r="R27" s="20">
        <f t="shared" si="8"/>
        <v>0.90739963228902565</v>
      </c>
      <c r="S27" s="3"/>
      <c r="T27" s="3"/>
      <c r="U27" s="3"/>
      <c r="V27" s="20">
        <f t="shared" si="9"/>
        <v>0</v>
      </c>
      <c r="W27" s="3"/>
      <c r="X27" s="3">
        <f t="shared" si="10"/>
        <v>1878786.8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>
        <v>31.57</v>
      </c>
      <c r="E28" s="3"/>
      <c r="F28" s="20">
        <f t="shared" si="4"/>
        <v>9.8642184241040862E-5</v>
      </c>
      <c r="G28" s="3"/>
      <c r="H28" s="3"/>
      <c r="I28" s="3"/>
      <c r="J28" s="20">
        <f t="shared" si="5"/>
        <v>0</v>
      </c>
      <c r="K28" s="3"/>
      <c r="L28" s="3">
        <f t="shared" si="6"/>
        <v>31.57</v>
      </c>
      <c r="M28" s="3"/>
      <c r="N28" s="20">
        <f t="shared" si="7"/>
        <v>0</v>
      </c>
      <c r="O28" s="12"/>
      <c r="P28" s="3">
        <v>203.12</v>
      </c>
      <c r="Q28" s="3"/>
      <c r="R28" s="20">
        <f t="shared" si="8"/>
        <v>9.8101079542685143E-5</v>
      </c>
      <c r="S28" s="3"/>
      <c r="T28" s="3"/>
      <c r="U28" s="3"/>
      <c r="V28" s="20">
        <f t="shared" si="9"/>
        <v>0</v>
      </c>
      <c r="W28" s="3"/>
      <c r="X28" s="3">
        <f t="shared" si="10"/>
        <v>203.12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28224.420000000042</v>
      </c>
      <c r="E31" s="15"/>
      <c r="F31" s="23">
        <f>IF(D$12=0,0,D31/D$12)</f>
        <v>8.8188737337235437E-2</v>
      </c>
      <c r="G31" s="15"/>
      <c r="H31" s="21">
        <f>H12-H19</f>
        <v>21655</v>
      </c>
      <c r="I31" s="15"/>
      <c r="J31" s="23">
        <f>IF(H$12=0,0,H31/H$12)</f>
        <v>0.10500412161179266</v>
      </c>
      <c r="K31" s="17"/>
      <c r="L31" s="21">
        <f>+D31-H31</f>
        <v>6569.4200000000419</v>
      </c>
      <c r="M31" s="17"/>
      <c r="N31" s="23">
        <f>IF(H31=0,0,L31/H31)</f>
        <v>0.30336735165089085</v>
      </c>
      <c r="O31" s="28"/>
      <c r="P31" s="21">
        <f>P12-P19</f>
        <v>301923.93999999994</v>
      </c>
      <c r="Q31" s="15"/>
      <c r="R31" s="23">
        <f>IF(P$12=0,0,P31/P$12)</f>
        <v>0.14582052212377358</v>
      </c>
      <c r="S31" s="15"/>
      <c r="T31" s="21">
        <f>T12-T19</f>
        <v>188152</v>
      </c>
      <c r="U31" s="15"/>
      <c r="V31" s="23">
        <f>IF(T$12=0,0,T31/T$12)</f>
        <v>0.10500180535333303</v>
      </c>
      <c r="W31" s="17"/>
      <c r="X31" s="21">
        <f>+P31-T31</f>
        <v>113771.93999999994</v>
      </c>
      <c r="Y31" s="17"/>
      <c r="Z31" s="23">
        <f>IF(T31=0,0,X31/T31)</f>
        <v>0.60468100259364743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20773.600000000002</v>
      </c>
      <c r="E33" s="22"/>
      <c r="F33" s="33">
        <f t="shared" ref="F33:F74" si="12">IF(D$12=0,0,D33/D$12)</f>
        <v>6.4908244490012243E-2</v>
      </c>
      <c r="G33" s="22"/>
      <c r="H33" s="22" cm="1">
        <f t="array" ref="H33">SUM(OSRRefH22x_0)</f>
        <v>17682.834579087499</v>
      </c>
      <c r="I33" s="22"/>
      <c r="J33" s="33">
        <f t="shared" ref="J33:J74" si="13">IF(H$12=0,0,H33/H$12)</f>
        <v>8.5743270033882074E-2</v>
      </c>
      <c r="K33" s="5"/>
      <c r="L33" s="22">
        <f t="shared" ref="L33:L74" si="14">+D33-H33</f>
        <v>3090.765420912503</v>
      </c>
      <c r="M33" s="5"/>
      <c r="N33" s="33">
        <f t="shared" ref="N33:N74" si="15">IF(H33=0,0,L33/H33)</f>
        <v>0.17478902531655069</v>
      </c>
      <c r="O33" s="11"/>
      <c r="P33" s="22" cm="1">
        <f t="array" ref="P33">SUM(OSRRefP22x_0)</f>
        <v>153428.51999999996</v>
      </c>
      <c r="Q33" s="22"/>
      <c r="R33" s="33">
        <f t="shared" ref="R33:R74" si="16">IF(P$12=0,0,P33/P$12)</f>
        <v>7.4101533303645412E-2</v>
      </c>
      <c r="S33" s="22"/>
      <c r="T33" s="22" cm="1">
        <f t="array" ref="T33">SUM(OSRRefT22x_0)</f>
        <v>159754.71621357001</v>
      </c>
      <c r="U33" s="22"/>
      <c r="V33" s="33">
        <f t="shared" ref="V33:V74" si="17">IF(T$12=0,0,T33/T$12)</f>
        <v>8.9154160551757275E-2</v>
      </c>
      <c r="W33" s="5"/>
      <c r="X33" s="22">
        <f t="shared" ref="X33:X74" si="18">+P33-T33</f>
        <v>-6326.1962135700451</v>
      </c>
      <c r="Y33" s="5"/>
      <c r="Z33" s="33">
        <f t="shared" ref="Z33:Z74" si="19">IF(T33=0,0,X33/T33)</f>
        <v>-3.9599433203041053E-2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3918.19</v>
      </c>
      <c r="E34" s="2"/>
      <c r="F34" s="6">
        <f t="shared" si="12"/>
        <v>1.2242598032036867E-2</v>
      </c>
      <c r="G34" s="2"/>
      <c r="H34" s="2">
        <f>SUM(OSRRefH22_0x_0)</f>
        <v>3041.1563915874999</v>
      </c>
      <c r="I34" s="2"/>
      <c r="J34" s="6">
        <f t="shared" si="13"/>
        <v>1.4746430643395723E-2</v>
      </c>
      <c r="K34" s="2"/>
      <c r="L34" s="2">
        <f t="shared" si="14"/>
        <v>877.03360841250014</v>
      </c>
      <c r="M34" s="2"/>
      <c r="N34" s="6">
        <f t="shared" si="15"/>
        <v>0.28838819694987272</v>
      </c>
      <c r="O34" s="14"/>
      <c r="P34" s="2">
        <f>SUM(OSRRefP22_0x_0)</f>
        <v>27166.349999999995</v>
      </c>
      <c r="Q34" s="2"/>
      <c r="R34" s="6">
        <f t="shared" si="16"/>
        <v>1.312056056633726E-2</v>
      </c>
      <c r="S34" s="2"/>
      <c r="T34" s="2">
        <f>SUM(OSRRefT22_0x_0)</f>
        <v>28440.660163570003</v>
      </c>
      <c r="U34" s="2"/>
      <c r="V34" s="6">
        <f t="shared" si="17"/>
        <v>1.5871851814572634E-2</v>
      </c>
      <c r="W34" s="2"/>
      <c r="X34" s="2">
        <f t="shared" si="18"/>
        <v>-1274.3101635700077</v>
      </c>
      <c r="Y34" s="2"/>
      <c r="Z34" s="6">
        <f t="shared" si="19"/>
        <v>-4.4805927719015731E-2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860.47</v>
      </c>
      <c r="E35" s="3"/>
      <c r="F35" s="8">
        <f t="shared" si="12"/>
        <v>2.6885853745292503E-3</v>
      </c>
      <c r="G35" s="3"/>
      <c r="H35" s="7">
        <v>571.71439946249996</v>
      </c>
      <c r="I35" s="3"/>
      <c r="J35" s="8">
        <f t="shared" si="13"/>
        <v>2.7722174245381368E-3</v>
      </c>
      <c r="K35" s="3"/>
      <c r="L35" s="7">
        <f t="shared" si="14"/>
        <v>288.75560053750007</v>
      </c>
      <c r="M35" s="3"/>
      <c r="N35" s="8">
        <f t="shared" si="15"/>
        <v>0.50506966556898869</v>
      </c>
      <c r="O35" s="12"/>
      <c r="P35" s="7">
        <v>5754.15</v>
      </c>
      <c r="Q35" s="3"/>
      <c r="R35" s="8">
        <f t="shared" si="16"/>
        <v>2.7790878635808474E-3</v>
      </c>
      <c r="S35" s="3"/>
      <c r="T35" s="7">
        <v>5809.8559952699998</v>
      </c>
      <c r="U35" s="3"/>
      <c r="V35" s="8">
        <f t="shared" si="17"/>
        <v>3.2423007374156828E-3</v>
      </c>
      <c r="W35" s="3"/>
      <c r="X35" s="7">
        <f t="shared" si="18"/>
        <v>-55.70599527000013</v>
      </c>
      <c r="Y35" s="3"/>
      <c r="Z35" s="8">
        <f t="shared" si="19"/>
        <v>-9.5881886427739808E-3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147.80000000000001</v>
      </c>
      <c r="E36" s="3"/>
      <c r="F36" s="8">
        <f t="shared" si="12"/>
        <v>4.6180914890167374E-4</v>
      </c>
      <c r="G36" s="3"/>
      <c r="H36" s="7">
        <v>203.03713949999999</v>
      </c>
      <c r="I36" s="3"/>
      <c r="J36" s="8">
        <f t="shared" si="13"/>
        <v>9.8451796295398334E-4</v>
      </c>
      <c r="K36" s="3"/>
      <c r="L36" s="7">
        <f t="shared" si="14"/>
        <v>-55.237139499999984</v>
      </c>
      <c r="M36" s="3"/>
      <c r="N36" s="8">
        <f t="shared" si="15"/>
        <v>-0.27205436225129631</v>
      </c>
      <c r="O36" s="12"/>
      <c r="P36" s="7">
        <v>1446.9</v>
      </c>
      <c r="Q36" s="3"/>
      <c r="R36" s="8">
        <f t="shared" si="16"/>
        <v>6.988108112953483E-4</v>
      </c>
      <c r="S36" s="3"/>
      <c r="T36" s="7">
        <v>1813.5165204</v>
      </c>
      <c r="U36" s="3"/>
      <c r="V36" s="8">
        <f t="shared" si="17"/>
        <v>1.0120674171951115E-3</v>
      </c>
      <c r="W36" s="3"/>
      <c r="X36" s="7">
        <f t="shared" si="18"/>
        <v>-366.6165203999999</v>
      </c>
      <c r="Y36" s="3"/>
      <c r="Z36" s="8">
        <f t="shared" si="19"/>
        <v>-0.20215780571942998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1539.12</v>
      </c>
      <c r="E37" s="3"/>
      <c r="F37" s="8">
        <f t="shared" si="12"/>
        <v>4.8090642574935318E-3</v>
      </c>
      <c r="G37" s="3"/>
      <c r="H37" s="7">
        <v>1096.5</v>
      </c>
      <c r="I37" s="3"/>
      <c r="J37" s="8">
        <f t="shared" si="13"/>
        <v>5.3168792125296996E-3</v>
      </c>
      <c r="K37" s="3"/>
      <c r="L37" s="7">
        <f t="shared" si="14"/>
        <v>442.61999999999989</v>
      </c>
      <c r="M37" s="3"/>
      <c r="N37" s="8">
        <f t="shared" si="15"/>
        <v>0.40366621067031455</v>
      </c>
      <c r="O37" s="12"/>
      <c r="P37" s="7">
        <v>9906.89</v>
      </c>
      <c r="Q37" s="3"/>
      <c r="R37" s="8">
        <f t="shared" si="16"/>
        <v>4.7847410590322569E-3</v>
      </c>
      <c r="S37" s="3"/>
      <c r="T37" s="7">
        <v>10047</v>
      </c>
      <c r="U37" s="3"/>
      <c r="V37" s="8">
        <f t="shared" si="17"/>
        <v>5.6069196095972253E-3</v>
      </c>
      <c r="W37" s="3"/>
      <c r="X37" s="7">
        <f t="shared" si="18"/>
        <v>-140.11000000000058</v>
      </c>
      <c r="Y37" s="3"/>
      <c r="Z37" s="8">
        <f t="shared" si="19"/>
        <v>-1.3945456355130942E-2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26.64</v>
      </c>
      <c r="E38" s="3"/>
      <c r="F38" s="8">
        <f t="shared" si="12"/>
        <v>8.3238130762791523E-5</v>
      </c>
      <c r="G38" s="3"/>
      <c r="H38" s="7">
        <v>27.331922625000001</v>
      </c>
      <c r="I38" s="3"/>
      <c r="J38" s="8">
        <f t="shared" si="13"/>
        <v>1.3253126424380546E-4</v>
      </c>
      <c r="K38" s="3"/>
      <c r="L38" s="7">
        <f t="shared" si="14"/>
        <v>-0.69192262500000012</v>
      </c>
      <c r="M38" s="3"/>
      <c r="N38" s="8">
        <f t="shared" si="15"/>
        <v>-2.5315548945946138E-2</v>
      </c>
      <c r="O38" s="12"/>
      <c r="P38" s="7">
        <v>254.87</v>
      </c>
      <c r="Q38" s="3"/>
      <c r="R38" s="8">
        <f t="shared" si="16"/>
        <v>1.2309483134621978E-4</v>
      </c>
      <c r="S38" s="3"/>
      <c r="T38" s="7">
        <v>244.12722389999999</v>
      </c>
      <c r="U38" s="3"/>
      <c r="V38" s="8">
        <f t="shared" si="17"/>
        <v>1.3623984462241885E-4</v>
      </c>
      <c r="W38" s="3"/>
      <c r="X38" s="7">
        <f t="shared" si="18"/>
        <v>10.742776100000015</v>
      </c>
      <c r="Y38" s="3"/>
      <c r="Z38" s="8">
        <f t="shared" si="19"/>
        <v>4.4004826370370301E-2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179.61</v>
      </c>
      <c r="E39" s="3"/>
      <c r="F39" s="8">
        <f t="shared" si="12"/>
        <v>5.6120122621264963E-4</v>
      </c>
      <c r="G39" s="3"/>
      <c r="H39" s="7">
        <v>252.70766750000001</v>
      </c>
      <c r="I39" s="3"/>
      <c r="J39" s="8">
        <f t="shared" si="13"/>
        <v>1.2253681205450226E-3</v>
      </c>
      <c r="K39" s="3"/>
      <c r="L39" s="7">
        <f t="shared" si="14"/>
        <v>-73.0976675</v>
      </c>
      <c r="M39" s="3"/>
      <c r="N39" s="8">
        <f t="shared" si="15"/>
        <v>-0.28925781407087697</v>
      </c>
      <c r="O39" s="12"/>
      <c r="P39" s="7">
        <v>1218.29</v>
      </c>
      <c r="Q39" s="3"/>
      <c r="R39" s="8">
        <f t="shared" si="16"/>
        <v>5.8839879970489309E-4</v>
      </c>
      <c r="S39" s="3"/>
      <c r="T39" s="7">
        <v>2223.8274740000002</v>
      </c>
      <c r="U39" s="3"/>
      <c r="V39" s="8">
        <f t="shared" si="17"/>
        <v>1.2410492557312295E-3</v>
      </c>
      <c r="W39" s="3"/>
      <c r="X39" s="7">
        <f t="shared" si="18"/>
        <v>-1005.5374740000002</v>
      </c>
      <c r="Y39" s="3"/>
      <c r="Z39" s="8">
        <f t="shared" si="19"/>
        <v>-0.45216523572817419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157.46</v>
      </c>
      <c r="E41" s="3"/>
      <c r="F41" s="8">
        <f t="shared" si="12"/>
        <v>4.9199234496655989E-4</v>
      </c>
      <c r="G41" s="3"/>
      <c r="H41" s="7"/>
      <c r="I41" s="3"/>
      <c r="J41" s="8">
        <f t="shared" si="13"/>
        <v>0</v>
      </c>
      <c r="K41" s="3"/>
      <c r="L41" s="7">
        <f t="shared" si="14"/>
        <v>157.46</v>
      </c>
      <c r="M41" s="3"/>
      <c r="N41" s="8">
        <f t="shared" si="15"/>
        <v>0</v>
      </c>
      <c r="O41" s="12"/>
      <c r="P41" s="7">
        <v>160.12</v>
      </c>
      <c r="Q41" s="3"/>
      <c r="R41" s="8">
        <f t="shared" si="16"/>
        <v>7.7333324420907578E-5</v>
      </c>
      <c r="S41" s="3"/>
      <c r="T41" s="7"/>
      <c r="U41" s="3"/>
      <c r="V41" s="8">
        <f t="shared" si="17"/>
        <v>0</v>
      </c>
      <c r="W41" s="3"/>
      <c r="X41" s="7">
        <f t="shared" si="18"/>
        <v>160.12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390.91</v>
      </c>
      <c r="E42" s="3"/>
      <c r="F42" s="8">
        <f t="shared" si="12"/>
        <v>1.2214195832013076E-3</v>
      </c>
      <c r="G42" s="3"/>
      <c r="H42" s="7">
        <v>224.11383749999999</v>
      </c>
      <c r="I42" s="3"/>
      <c r="J42" s="8">
        <f t="shared" si="13"/>
        <v>1.0867179241623429E-3</v>
      </c>
      <c r="K42" s="3"/>
      <c r="L42" s="7">
        <f t="shared" si="14"/>
        <v>166.79616250000004</v>
      </c>
      <c r="M42" s="3"/>
      <c r="N42" s="8">
        <f t="shared" si="15"/>
        <v>0.74424749654291222</v>
      </c>
      <c r="O42" s="12"/>
      <c r="P42" s="7">
        <v>2931.34</v>
      </c>
      <c r="Q42" s="3"/>
      <c r="R42" s="8">
        <f t="shared" si="16"/>
        <v>1.4157523557830577E-3</v>
      </c>
      <c r="S42" s="3"/>
      <c r="T42" s="7">
        <v>1972.2017699999999</v>
      </c>
      <c r="U42" s="3"/>
      <c r="V42" s="8">
        <f t="shared" si="17"/>
        <v>1.1006247415442775E-3</v>
      </c>
      <c r="W42" s="3"/>
      <c r="X42" s="7">
        <f t="shared" si="18"/>
        <v>959.13823000000025</v>
      </c>
      <c r="Y42" s="3"/>
      <c r="Z42" s="8">
        <f t="shared" si="19"/>
        <v>0.48632865287409222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366.78</v>
      </c>
      <c r="E43" s="3"/>
      <c r="F43" s="8">
        <f t="shared" si="12"/>
        <v>1.1460240841282535E-3</v>
      </c>
      <c r="G43" s="3"/>
      <c r="H43" s="7">
        <v>315.75142499999998</v>
      </c>
      <c r="I43" s="3"/>
      <c r="J43" s="8">
        <f t="shared" si="13"/>
        <v>1.5310644668573921E-3</v>
      </c>
      <c r="K43" s="3"/>
      <c r="L43" s="7">
        <f t="shared" si="14"/>
        <v>51.028574999999989</v>
      </c>
      <c r="M43" s="3"/>
      <c r="N43" s="8">
        <f t="shared" si="15"/>
        <v>0.16160995947999282</v>
      </c>
      <c r="O43" s="12"/>
      <c r="P43" s="7">
        <v>3669.99</v>
      </c>
      <c r="Q43" s="3"/>
      <c r="R43" s="8">
        <f t="shared" si="16"/>
        <v>1.7724989213807555E-3</v>
      </c>
      <c r="S43" s="3"/>
      <c r="T43" s="7">
        <v>2830.1311799999999</v>
      </c>
      <c r="U43" s="3"/>
      <c r="V43" s="8">
        <f t="shared" si="17"/>
        <v>1.5794085807578912E-3</v>
      </c>
      <c r="W43" s="3"/>
      <c r="X43" s="7">
        <f t="shared" si="18"/>
        <v>839.85881999999992</v>
      </c>
      <c r="Y43" s="3"/>
      <c r="Z43" s="8">
        <f t="shared" si="19"/>
        <v>0.29675614541655271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249.4</v>
      </c>
      <c r="E44" s="3"/>
      <c r="F44" s="8">
        <f t="shared" si="12"/>
        <v>7.7926388184084859E-4</v>
      </c>
      <c r="G44" s="3"/>
      <c r="H44" s="7">
        <v>350</v>
      </c>
      <c r="I44" s="3"/>
      <c r="J44" s="8">
        <f t="shared" si="13"/>
        <v>1.6971342675653398E-3</v>
      </c>
      <c r="K44" s="3"/>
      <c r="L44" s="7">
        <f t="shared" si="14"/>
        <v>-100.6</v>
      </c>
      <c r="M44" s="3"/>
      <c r="N44" s="8">
        <f t="shared" si="15"/>
        <v>-0.28742857142857142</v>
      </c>
      <c r="O44" s="12"/>
      <c r="P44" s="7">
        <v>1823.8</v>
      </c>
      <c r="Q44" s="3"/>
      <c r="R44" s="8">
        <f t="shared" si="16"/>
        <v>8.8084259979297544E-4</v>
      </c>
      <c r="S44" s="3"/>
      <c r="T44" s="7">
        <v>3500</v>
      </c>
      <c r="U44" s="3"/>
      <c r="V44" s="8">
        <f t="shared" si="17"/>
        <v>1.9532416277087974E-3</v>
      </c>
      <c r="W44" s="3"/>
      <c r="X44" s="7">
        <f t="shared" si="18"/>
        <v>-1676.2</v>
      </c>
      <c r="Y44" s="3"/>
      <c r="Z44" s="8">
        <f t="shared" si="19"/>
        <v>-0.47891428571428574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13530.35</v>
      </c>
      <c r="E45" s="2"/>
      <c r="F45" s="6">
        <f t="shared" si="12"/>
        <v>4.2276315411649265E-2</v>
      </c>
      <c r="G45" s="2"/>
      <c r="H45" s="2">
        <f>SUM(OSRRefH22_1x_0)</f>
        <v>12641.6781875</v>
      </c>
      <c r="I45" s="2"/>
      <c r="J45" s="6">
        <f t="shared" si="13"/>
        <v>6.1298929290112977E-2</v>
      </c>
      <c r="K45" s="2"/>
      <c r="L45" s="2">
        <f t="shared" si="14"/>
        <v>888.67181250000067</v>
      </c>
      <c r="M45" s="2"/>
      <c r="N45" s="6">
        <f t="shared" si="15"/>
        <v>7.0296981090589142E-2</v>
      </c>
      <c r="O45" s="14"/>
      <c r="P45" s="2">
        <f>SUM(OSRRefP22_1x_0)</f>
        <v>105835.56</v>
      </c>
      <c r="Q45" s="2"/>
      <c r="R45" s="6">
        <f t="shared" si="16"/>
        <v>5.1115511471074369E-2</v>
      </c>
      <c r="S45" s="2"/>
      <c r="T45" s="2">
        <f>SUM(OSRRefT22_1x_0)</f>
        <v>112964.05605</v>
      </c>
      <c r="U45" s="2"/>
      <c r="V45" s="6">
        <f t="shared" si="17"/>
        <v>6.3041741917625668E-2</v>
      </c>
      <c r="W45" s="2"/>
      <c r="X45" s="2">
        <f t="shared" si="18"/>
        <v>-7128.4960500000016</v>
      </c>
      <c r="Y45" s="2"/>
      <c r="Z45" s="6">
        <f t="shared" si="19"/>
        <v>-6.3104108503724374E-2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2040</v>
      </c>
      <c r="E47" s="3"/>
      <c r="F47" s="8">
        <f t="shared" si="12"/>
        <v>6.3740910944479999E-3</v>
      </c>
      <c r="G47" s="3"/>
      <c r="H47" s="7">
        <v>2791.5381874999998</v>
      </c>
      <c r="I47" s="3"/>
      <c r="J47" s="8">
        <f t="shared" si="13"/>
        <v>1.3536043192067108E-2</v>
      </c>
      <c r="K47" s="3"/>
      <c r="L47" s="7">
        <f t="shared" si="14"/>
        <v>-751.53818749999982</v>
      </c>
      <c r="M47" s="3"/>
      <c r="N47" s="8">
        <f t="shared" si="15"/>
        <v>-0.26922009910709843</v>
      </c>
      <c r="O47" s="12"/>
      <c r="P47" s="7">
        <v>18624.939999999999</v>
      </c>
      <c r="Q47" s="3"/>
      <c r="R47" s="8">
        <f t="shared" si="16"/>
        <v>8.9953068157627904E-3</v>
      </c>
      <c r="S47" s="3"/>
      <c r="T47" s="7">
        <v>24565.536049999999</v>
      </c>
      <c r="U47" s="3"/>
      <c r="V47" s="8">
        <f t="shared" si="17"/>
        <v>1.3709265034240326E-2</v>
      </c>
      <c r="W47" s="3"/>
      <c r="X47" s="7">
        <f t="shared" si="18"/>
        <v>-5940.5960500000001</v>
      </c>
      <c r="Y47" s="3"/>
      <c r="Z47" s="8">
        <f t="shared" si="19"/>
        <v>-0.2418264367571169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5423.45</v>
      </c>
      <c r="E49" s="3"/>
      <c r="F49" s="8">
        <f t="shared" si="12"/>
        <v>1.6945864875580394E-2</v>
      </c>
      <c r="G49" s="3"/>
      <c r="H49" s="7">
        <v>4305.3999999999996</v>
      </c>
      <c r="I49" s="3"/>
      <c r="J49" s="8">
        <f t="shared" si="13"/>
        <v>2.0876691073073751E-2</v>
      </c>
      <c r="K49" s="3"/>
      <c r="L49" s="7">
        <f t="shared" si="14"/>
        <v>1118.0500000000002</v>
      </c>
      <c r="M49" s="3"/>
      <c r="N49" s="8">
        <f t="shared" si="15"/>
        <v>0.25968551121846989</v>
      </c>
      <c r="O49" s="12"/>
      <c r="P49" s="7">
        <v>33896.089999999997</v>
      </c>
      <c r="Q49" s="3"/>
      <c r="R49" s="8">
        <f t="shared" si="16"/>
        <v>1.6370830155947293E-2</v>
      </c>
      <c r="S49" s="3"/>
      <c r="T49" s="7">
        <v>37887.519999999997</v>
      </c>
      <c r="U49" s="3"/>
      <c r="V49" s="8">
        <f t="shared" si="17"/>
        <v>2.1143851781328458E-2</v>
      </c>
      <c r="W49" s="3"/>
      <c r="X49" s="7">
        <f t="shared" si="18"/>
        <v>-3991.4300000000003</v>
      </c>
      <c r="Y49" s="3"/>
      <c r="Z49" s="8">
        <f t="shared" si="19"/>
        <v>-0.10534946599830236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>
        <v>2758.09</v>
      </c>
      <c r="E50" s="3"/>
      <c r="F50" s="8">
        <f t="shared" si="12"/>
        <v>8.617802405238276E-3</v>
      </c>
      <c r="G50" s="3"/>
      <c r="H50" s="7">
        <v>0</v>
      </c>
      <c r="I50" s="3"/>
      <c r="J50" s="8">
        <f t="shared" si="13"/>
        <v>0</v>
      </c>
      <c r="K50" s="3"/>
      <c r="L50" s="7">
        <f t="shared" si="14"/>
        <v>2758.09</v>
      </c>
      <c r="M50" s="3"/>
      <c r="N50" s="8">
        <f t="shared" si="15"/>
        <v>0</v>
      </c>
      <c r="O50" s="12"/>
      <c r="P50" s="7">
        <v>14713.03</v>
      </c>
      <c r="Q50" s="3"/>
      <c r="R50" s="8">
        <f t="shared" si="16"/>
        <v>7.1059675381248176E-3</v>
      </c>
      <c r="S50" s="3"/>
      <c r="T50" s="7">
        <v>0</v>
      </c>
      <c r="U50" s="3"/>
      <c r="V50" s="8">
        <f t="shared" si="17"/>
        <v>0</v>
      </c>
      <c r="W50" s="3"/>
      <c r="X50" s="7">
        <f t="shared" si="18"/>
        <v>14713.03</v>
      </c>
      <c r="Y50" s="3"/>
      <c r="Z50" s="8">
        <f t="shared" si="19"/>
        <v>0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3308.81</v>
      </c>
      <c r="E52" s="3"/>
      <c r="F52" s="8">
        <f t="shared" si="12"/>
        <v>1.0338557036382591E-2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3308.81</v>
      </c>
      <c r="M52" s="3"/>
      <c r="N52" s="8">
        <f t="shared" si="15"/>
        <v>0</v>
      </c>
      <c r="O52" s="12"/>
      <c r="P52" s="7">
        <v>32455.87</v>
      </c>
      <c r="Q52" s="3"/>
      <c r="R52" s="8">
        <f t="shared" si="16"/>
        <v>1.5675245591261561E-2</v>
      </c>
      <c r="S52" s="3"/>
      <c r="T52" s="7">
        <v>10176</v>
      </c>
      <c r="U52" s="3"/>
      <c r="V52" s="8">
        <f t="shared" si="17"/>
        <v>5.6789105153042061E-3</v>
      </c>
      <c r="W52" s="3"/>
      <c r="X52" s="7">
        <f t="shared" si="18"/>
        <v>22279.87</v>
      </c>
      <c r="Y52" s="3"/>
      <c r="Z52" s="8">
        <f t="shared" si="19"/>
        <v>2.1894526336477989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5544.74</v>
      </c>
      <c r="I53" s="3"/>
      <c r="J53" s="8">
        <f t="shared" si="13"/>
        <v>2.6886195024972116E-2</v>
      </c>
      <c r="K53" s="3"/>
      <c r="L53" s="7">
        <f t="shared" si="14"/>
        <v>-5544.74</v>
      </c>
      <c r="M53" s="3"/>
      <c r="N53" s="8">
        <f t="shared" si="15"/>
        <v>-1</v>
      </c>
      <c r="O53" s="12"/>
      <c r="P53" s="7">
        <v>6145.63</v>
      </c>
      <c r="Q53" s="3"/>
      <c r="R53" s="8">
        <f t="shared" si="16"/>
        <v>2.9681613699779055E-3</v>
      </c>
      <c r="S53" s="3"/>
      <c r="T53" s="7">
        <v>40335</v>
      </c>
      <c r="U53" s="3"/>
      <c r="V53" s="8">
        <f t="shared" si="17"/>
        <v>2.2509714586752667E-2</v>
      </c>
      <c r="W53" s="3"/>
      <c r="X53" s="7">
        <f t="shared" si="18"/>
        <v>-34189.370000000003</v>
      </c>
      <c r="Y53" s="3"/>
      <c r="Z53" s="8">
        <f t="shared" si="19"/>
        <v>-0.84763530432626755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0</v>
      </c>
      <c r="E56" s="2"/>
      <c r="F56" s="6">
        <f t="shared" si="12"/>
        <v>0</v>
      </c>
      <c r="G56" s="2"/>
      <c r="H56" s="2">
        <f>SUM(OSRRefH22_2x_0)</f>
        <v>200</v>
      </c>
      <c r="I56" s="2"/>
      <c r="J56" s="6">
        <f t="shared" si="13"/>
        <v>9.6979101003733697E-4</v>
      </c>
      <c r="K56" s="2"/>
      <c r="L56" s="2">
        <f t="shared" si="14"/>
        <v>-200</v>
      </c>
      <c r="M56" s="2"/>
      <c r="N56" s="6">
        <f t="shared" si="15"/>
        <v>-1</v>
      </c>
      <c r="O56" s="14"/>
      <c r="P56" s="2">
        <f>SUM(OSRRefP22_2x_0)</f>
        <v>178.97</v>
      </c>
      <c r="Q56" s="2"/>
      <c r="R56" s="6">
        <f t="shared" si="16"/>
        <v>8.6437328701035641E-5</v>
      </c>
      <c r="S56" s="2"/>
      <c r="T56" s="2">
        <f>SUM(OSRRefT22_2x_0)</f>
        <v>2000</v>
      </c>
      <c r="U56" s="2"/>
      <c r="V56" s="6">
        <f t="shared" si="17"/>
        <v>1.1161380729764556E-3</v>
      </c>
      <c r="W56" s="2"/>
      <c r="X56" s="2">
        <f t="shared" si="18"/>
        <v>-1821.03</v>
      </c>
      <c r="Y56" s="2"/>
      <c r="Z56" s="6">
        <f t="shared" si="19"/>
        <v>-0.91051499999999996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/>
      <c r="E57" s="3"/>
      <c r="F57" s="8">
        <f t="shared" si="12"/>
        <v>0</v>
      </c>
      <c r="G57" s="3"/>
      <c r="H57" s="7">
        <v>200</v>
      </c>
      <c r="I57" s="3"/>
      <c r="J57" s="8">
        <f t="shared" si="13"/>
        <v>9.6979101003733697E-4</v>
      </c>
      <c r="K57" s="3"/>
      <c r="L57" s="7">
        <f t="shared" si="14"/>
        <v>-200</v>
      </c>
      <c r="M57" s="3"/>
      <c r="N57" s="8">
        <f t="shared" si="15"/>
        <v>-1</v>
      </c>
      <c r="O57" s="12"/>
      <c r="P57" s="7">
        <v>178.97</v>
      </c>
      <c r="Q57" s="3"/>
      <c r="R57" s="8">
        <f t="shared" si="16"/>
        <v>8.6437328701035641E-5</v>
      </c>
      <c r="S57" s="3"/>
      <c r="T57" s="7">
        <v>2000</v>
      </c>
      <c r="U57" s="3"/>
      <c r="V57" s="8">
        <f t="shared" si="17"/>
        <v>1.1161380729764556E-3</v>
      </c>
      <c r="W57" s="3"/>
      <c r="X57" s="7">
        <f t="shared" si="18"/>
        <v>-1821.03</v>
      </c>
      <c r="Y57" s="3"/>
      <c r="Z57" s="8">
        <f t="shared" si="19"/>
        <v>-0.91051499999999996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8.7625005221911615E-4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2804.4</v>
      </c>
      <c r="Q58" s="2"/>
      <c r="R58" s="6">
        <f t="shared" si="16"/>
        <v>1.3544440107793731E-3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2804.4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","6322"," - ","EQUIPMENT DEPRECIATION EXPENSE")</f>
        <v xml:space="preserve">          6322 - EQUIPMENT DEPRECIATION EXPENSE</v>
      </c>
      <c r="C59" s="12"/>
      <c r="D59" s="7">
        <v>280.44</v>
      </c>
      <c r="E59" s="3"/>
      <c r="F59" s="8">
        <f t="shared" si="12"/>
        <v>8.7625005221911615E-4</v>
      </c>
      <c r="G59" s="3"/>
      <c r="H59" s="7"/>
      <c r="I59" s="3"/>
      <c r="J59" s="8">
        <f t="shared" si="13"/>
        <v>0</v>
      </c>
      <c r="K59" s="3"/>
      <c r="L59" s="7">
        <f t="shared" si="14"/>
        <v>280.44</v>
      </c>
      <c r="M59" s="3"/>
      <c r="N59" s="8">
        <f t="shared" si="15"/>
        <v>0</v>
      </c>
      <c r="O59" s="12"/>
      <c r="P59" s="7">
        <v>2804.4</v>
      </c>
      <c r="Q59" s="3"/>
      <c r="R59" s="8">
        <f t="shared" si="16"/>
        <v>1.3544440107793731E-3</v>
      </c>
      <c r="S59" s="3"/>
      <c r="T59" s="7"/>
      <c r="U59" s="3"/>
      <c r="V59" s="8">
        <f t="shared" si="17"/>
        <v>0</v>
      </c>
      <c r="W59" s="3"/>
      <c r="X59" s="7">
        <f t="shared" si="18"/>
        <v>2804.4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9.6979101003733691E-5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200</v>
      </c>
      <c r="U60" s="2"/>
      <c r="V60" s="6">
        <f t="shared" si="17"/>
        <v>1.1161380729764557E-4</v>
      </c>
      <c r="W60" s="2"/>
      <c r="X60" s="2">
        <f t="shared" si="18"/>
        <v>-200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20</v>
      </c>
      <c r="I61" s="3"/>
      <c r="J61" s="8">
        <f t="shared" si="13"/>
        <v>9.6979101003733691E-5</v>
      </c>
      <c r="K61" s="3"/>
      <c r="L61" s="7">
        <f t="shared" si="14"/>
        <v>-20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200</v>
      </c>
      <c r="U61" s="3"/>
      <c r="V61" s="8">
        <f t="shared" si="17"/>
        <v>1.1161380729764557E-4</v>
      </c>
      <c r="W61" s="3"/>
      <c r="X61" s="7">
        <f t="shared" si="18"/>
        <v>-200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7.2734325752800275E-5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5.8985254256341748E-5</v>
      </c>
      <c r="S62" s="2"/>
      <c r="T62" s="2">
        <f>SUM(OSRRefT22_5x_0)</f>
        <v>150</v>
      </c>
      <c r="U62" s="2"/>
      <c r="V62" s="6">
        <f t="shared" si="17"/>
        <v>8.3710355473234178E-5</v>
      </c>
      <c r="W62" s="2"/>
      <c r="X62" s="2">
        <f t="shared" si="18"/>
        <v>-27.870000000000005</v>
      </c>
      <c r="Y62" s="2"/>
      <c r="Z62" s="6">
        <f t="shared" si="19"/>
        <v>-0.18580000000000002</v>
      </c>
    </row>
    <row r="63" spans="1:26" s="70" customFormat="1" ht="15" hidden="1" customHeight="1" outlineLevel="2" x14ac:dyDescent="0.3">
      <c r="A63" s="26"/>
      <c r="B63" s="12" t="str">
        <f>CONCATENATE("          ","6305"," - ","FREIGHT OUT")</f>
        <v xml:space="preserve">          6305 - FREIGHT OUT</v>
      </c>
      <c r="C63" s="12"/>
      <c r="D63" s="7"/>
      <c r="E63" s="3"/>
      <c r="F63" s="8">
        <f t="shared" si="12"/>
        <v>0</v>
      </c>
      <c r="G63" s="3"/>
      <c r="H63" s="7">
        <v>15</v>
      </c>
      <c r="I63" s="3"/>
      <c r="J63" s="8">
        <f t="shared" si="13"/>
        <v>7.2734325752800275E-5</v>
      </c>
      <c r="K63" s="3"/>
      <c r="L63" s="7">
        <f t="shared" si="14"/>
        <v>-15</v>
      </c>
      <c r="M63" s="3"/>
      <c r="N63" s="8">
        <f t="shared" si="15"/>
        <v>-1</v>
      </c>
      <c r="O63" s="12"/>
      <c r="P63" s="7">
        <v>122.13</v>
      </c>
      <c r="Q63" s="3"/>
      <c r="R63" s="8">
        <f t="shared" si="16"/>
        <v>5.8985254256341748E-5</v>
      </c>
      <c r="S63" s="3"/>
      <c r="T63" s="7">
        <v>150</v>
      </c>
      <c r="U63" s="3"/>
      <c r="V63" s="8">
        <f t="shared" si="17"/>
        <v>8.3710355473234178E-5</v>
      </c>
      <c r="W63" s="3"/>
      <c r="X63" s="7">
        <f t="shared" si="18"/>
        <v>-27.870000000000005</v>
      </c>
      <c r="Y63" s="3"/>
      <c r="Z63" s="8">
        <f t="shared" si="19"/>
        <v>-0.18580000000000002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285</v>
      </c>
      <c r="E64" s="2"/>
      <c r="F64" s="6">
        <f t="shared" si="12"/>
        <v>8.9049802054788228E-4</v>
      </c>
      <c r="G64" s="2"/>
      <c r="H64" s="2">
        <f>SUM(OSRRefH22_6x_0)</f>
        <v>30</v>
      </c>
      <c r="I64" s="2"/>
      <c r="J64" s="6">
        <f t="shared" si="13"/>
        <v>1.4546865150560055E-4</v>
      </c>
      <c r="K64" s="2"/>
      <c r="L64" s="2">
        <f t="shared" si="14"/>
        <v>255</v>
      </c>
      <c r="M64" s="2"/>
      <c r="N64" s="6">
        <f t="shared" si="15"/>
        <v>8.5</v>
      </c>
      <c r="O64" s="14"/>
      <c r="P64" s="2">
        <f>SUM(OSRRefP22_6x_0)</f>
        <v>285</v>
      </c>
      <c r="Q64" s="2"/>
      <c r="R64" s="6">
        <f t="shared" si="16"/>
        <v>1.3764674906294441E-4</v>
      </c>
      <c r="S64" s="2"/>
      <c r="T64" s="2">
        <f>SUM(OSRRefT22_6x_0)</f>
        <v>300</v>
      </c>
      <c r="U64" s="2"/>
      <c r="V64" s="6">
        <f t="shared" si="17"/>
        <v>1.6742071094646836E-4</v>
      </c>
      <c r="W64" s="2"/>
      <c r="X64" s="2">
        <f t="shared" si="18"/>
        <v>-15</v>
      </c>
      <c r="Y64" s="2"/>
      <c r="Z64" s="6">
        <f t="shared" si="19"/>
        <v>-0.05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>
        <v>285</v>
      </c>
      <c r="E65" s="3"/>
      <c r="F65" s="8">
        <f t="shared" si="12"/>
        <v>8.9049802054788228E-4</v>
      </c>
      <c r="G65" s="3"/>
      <c r="H65" s="7">
        <v>30</v>
      </c>
      <c r="I65" s="3"/>
      <c r="J65" s="8">
        <f t="shared" si="13"/>
        <v>1.4546865150560055E-4</v>
      </c>
      <c r="K65" s="3"/>
      <c r="L65" s="7">
        <f t="shared" si="14"/>
        <v>255</v>
      </c>
      <c r="M65" s="3"/>
      <c r="N65" s="8">
        <f t="shared" si="15"/>
        <v>8.5</v>
      </c>
      <c r="O65" s="12"/>
      <c r="P65" s="7">
        <v>285</v>
      </c>
      <c r="Q65" s="3"/>
      <c r="R65" s="8">
        <f t="shared" si="16"/>
        <v>1.3764674906294441E-4</v>
      </c>
      <c r="S65" s="3"/>
      <c r="T65" s="7">
        <v>300</v>
      </c>
      <c r="U65" s="3"/>
      <c r="V65" s="8">
        <f t="shared" si="17"/>
        <v>1.6742071094646836E-4</v>
      </c>
      <c r="W65" s="3"/>
      <c r="X65" s="7">
        <f t="shared" si="18"/>
        <v>-15</v>
      </c>
      <c r="Y65" s="3"/>
      <c r="Z65" s="8">
        <f t="shared" si="19"/>
        <v>-0.05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1100</v>
      </c>
      <c r="E66" s="2"/>
      <c r="F66" s="6">
        <f t="shared" si="12"/>
        <v>3.4370099038690195E-3</v>
      </c>
      <c r="G66" s="2"/>
      <c r="H66" s="2">
        <f>SUM(OSRRefH22_7x_0)</f>
        <v>1100</v>
      </c>
      <c r="I66" s="2"/>
      <c r="J66" s="6">
        <f t="shared" si="13"/>
        <v>5.3338505552053533E-3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8640</v>
      </c>
      <c r="Q66" s="2"/>
      <c r="R66" s="6">
        <f t="shared" si="16"/>
        <v>4.1728698663292619E-3</v>
      </c>
      <c r="S66" s="2"/>
      <c r="T66" s="2">
        <f>SUM(OSRRefT22_7x_0)</f>
        <v>9350</v>
      </c>
      <c r="U66" s="2"/>
      <c r="V66" s="6">
        <f t="shared" si="17"/>
        <v>5.2179454911649298E-3</v>
      </c>
      <c r="W66" s="2"/>
      <c r="X66" s="2">
        <f t="shared" si="18"/>
        <v>-710</v>
      </c>
      <c r="Y66" s="2"/>
      <c r="Z66" s="6">
        <f t="shared" si="19"/>
        <v>-7.5935828877005354E-2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7">
        <v>1100</v>
      </c>
      <c r="E67" s="3"/>
      <c r="F67" s="8">
        <f t="shared" si="12"/>
        <v>3.4370099038690195E-3</v>
      </c>
      <c r="G67" s="3"/>
      <c r="H67" s="7">
        <v>1100</v>
      </c>
      <c r="I67" s="3"/>
      <c r="J67" s="8">
        <f t="shared" si="13"/>
        <v>5.3338505552053533E-3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>
        <v>8640</v>
      </c>
      <c r="Q67" s="3"/>
      <c r="R67" s="8">
        <f t="shared" si="16"/>
        <v>4.1728698663292619E-3</v>
      </c>
      <c r="S67" s="3"/>
      <c r="T67" s="7">
        <v>9350</v>
      </c>
      <c r="U67" s="3"/>
      <c r="V67" s="8">
        <f t="shared" si="17"/>
        <v>5.2179454911649298E-3</v>
      </c>
      <c r="W67" s="3"/>
      <c r="X67" s="7">
        <f t="shared" si="18"/>
        <v>-710</v>
      </c>
      <c r="Y67" s="3"/>
      <c r="Z67" s="8">
        <f t="shared" si="19"/>
        <v>-7.5935828877005354E-2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0</v>
      </c>
      <c r="E68" s="2"/>
      <c r="F68" s="6">
        <f t="shared" si="12"/>
        <v>0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SUM(OSRRefP22_8x_0)</f>
        <v>1550</v>
      </c>
      <c r="Q68" s="2"/>
      <c r="R68" s="6">
        <f t="shared" si="16"/>
        <v>7.4860512648268008E-4</v>
      </c>
      <c r="S68" s="2"/>
      <c r="T68" s="2">
        <f>SUM(OSRRefT22_8x_0)</f>
        <v>0</v>
      </c>
      <c r="U68" s="2"/>
      <c r="V68" s="6">
        <f t="shared" si="17"/>
        <v>0</v>
      </c>
      <c r="W68" s="2"/>
      <c r="X68" s="2">
        <f t="shared" si="18"/>
        <v>1550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7"/>
      <c r="E69" s="3"/>
      <c r="F69" s="8">
        <f t="shared" si="12"/>
        <v>0</v>
      </c>
      <c r="G69" s="3"/>
      <c r="H69" s="7"/>
      <c r="I69" s="3"/>
      <c r="J69" s="8">
        <f t="shared" si="13"/>
        <v>0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>
        <v>1550</v>
      </c>
      <c r="Q69" s="3"/>
      <c r="R69" s="8">
        <f t="shared" si="16"/>
        <v>7.4860512648268008E-4</v>
      </c>
      <c r="S69" s="3"/>
      <c r="T69" s="7"/>
      <c r="U69" s="3"/>
      <c r="V69" s="8">
        <f t="shared" si="17"/>
        <v>0</v>
      </c>
      <c r="W69" s="3"/>
      <c r="X69" s="7">
        <f t="shared" si="18"/>
        <v>1550</v>
      </c>
      <c r="Y69" s="3"/>
      <c r="Z69" s="8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SUM(OSRRefD22_9x_0)</f>
        <v>1549.15</v>
      </c>
      <c r="E70" s="2"/>
      <c r="F70" s="6">
        <f t="shared" si="12"/>
        <v>4.8404035387079013E-3</v>
      </c>
      <c r="G70" s="2"/>
      <c r="H70" s="2">
        <f>SUM(OSRRefH22_9x_0)</f>
        <v>310</v>
      </c>
      <c r="I70" s="2"/>
      <c r="J70" s="6">
        <f t="shared" si="13"/>
        <v>1.5031760655578722E-3</v>
      </c>
      <c r="K70" s="2"/>
      <c r="L70" s="2">
        <f t="shared" si="14"/>
        <v>1239.1500000000001</v>
      </c>
      <c r="M70" s="2"/>
      <c r="N70" s="6">
        <f t="shared" si="15"/>
        <v>3.9972580645161293</v>
      </c>
      <c r="O70" s="14"/>
      <c r="P70" s="2">
        <f>SUM(OSRRefP22_9x_0)</f>
        <v>4930.8999999999996</v>
      </c>
      <c r="Q70" s="2"/>
      <c r="R70" s="6">
        <f t="shared" si="16"/>
        <v>2.3814819472086756E-3</v>
      </c>
      <c r="S70" s="2"/>
      <c r="T70" s="2">
        <f>SUM(OSRRefT22_9x_0)</f>
        <v>3100</v>
      </c>
      <c r="U70" s="2"/>
      <c r="V70" s="6">
        <f t="shared" si="17"/>
        <v>1.7300140131135061E-3</v>
      </c>
      <c r="W70" s="2"/>
      <c r="X70" s="2">
        <f t="shared" si="18"/>
        <v>1830.8999999999996</v>
      </c>
      <c r="Y70" s="2"/>
      <c r="Z70" s="6">
        <f t="shared" si="19"/>
        <v>0.59061290322580628</v>
      </c>
    </row>
    <row r="71" spans="1:26" s="70" customFormat="1" ht="15" hidden="1" customHeight="1" outlineLevel="2" x14ac:dyDescent="0.3">
      <c r="A71" s="26"/>
      <c r="B71" s="12" t="str">
        <f>CONCATENATE("          ","6241"," - ","OFFICE EXPENSE")</f>
        <v xml:space="preserve">          6241 - OFFICE EXPENSE</v>
      </c>
      <c r="C71" s="12"/>
      <c r="D71" s="7">
        <v>1549.15</v>
      </c>
      <c r="E71" s="3"/>
      <c r="F71" s="8">
        <f t="shared" si="12"/>
        <v>4.8404035387079013E-3</v>
      </c>
      <c r="G71" s="3"/>
      <c r="H71" s="7">
        <v>110</v>
      </c>
      <c r="I71" s="3"/>
      <c r="J71" s="8">
        <f t="shared" si="13"/>
        <v>5.3338505552053537E-4</v>
      </c>
      <c r="K71" s="3"/>
      <c r="L71" s="7">
        <f t="shared" si="14"/>
        <v>1439.15</v>
      </c>
      <c r="M71" s="3"/>
      <c r="N71" s="8">
        <f t="shared" si="15"/>
        <v>13.083181818181819</v>
      </c>
      <c r="O71" s="12"/>
      <c r="P71" s="7">
        <v>2018.9</v>
      </c>
      <c r="Q71" s="3"/>
      <c r="R71" s="8">
        <f t="shared" si="16"/>
        <v>9.7507025151992444E-4</v>
      </c>
      <c r="S71" s="3"/>
      <c r="T71" s="7">
        <v>1100</v>
      </c>
      <c r="U71" s="3"/>
      <c r="V71" s="8">
        <f t="shared" si="17"/>
        <v>6.1387594013705062E-4</v>
      </c>
      <c r="W71" s="3"/>
      <c r="X71" s="7">
        <f t="shared" si="18"/>
        <v>918.90000000000009</v>
      </c>
      <c r="Y71" s="3"/>
      <c r="Z71" s="8">
        <f t="shared" si="19"/>
        <v>0.83536363636363642</v>
      </c>
    </row>
    <row r="72" spans="1:26" s="70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7"/>
      <c r="E72" s="3"/>
      <c r="F72" s="8">
        <f t="shared" si="12"/>
        <v>0</v>
      </c>
      <c r="G72" s="3"/>
      <c r="H72" s="7">
        <v>200</v>
      </c>
      <c r="I72" s="3"/>
      <c r="J72" s="8">
        <f t="shared" si="13"/>
        <v>9.6979101003733697E-4</v>
      </c>
      <c r="K72" s="3"/>
      <c r="L72" s="7">
        <f t="shared" si="14"/>
        <v>-200</v>
      </c>
      <c r="M72" s="3"/>
      <c r="N72" s="8">
        <f t="shared" si="15"/>
        <v>-1</v>
      </c>
      <c r="O72" s="12"/>
      <c r="P72" s="7">
        <v>2912</v>
      </c>
      <c r="Q72" s="3"/>
      <c r="R72" s="8">
        <f t="shared" si="16"/>
        <v>1.4064116956887512E-3</v>
      </c>
      <c r="S72" s="3"/>
      <c r="T72" s="7">
        <v>2000</v>
      </c>
      <c r="U72" s="3"/>
      <c r="V72" s="8">
        <f t="shared" si="17"/>
        <v>1.1161380729764556E-3</v>
      </c>
      <c r="W72" s="3"/>
      <c r="X72" s="7">
        <f t="shared" si="18"/>
        <v>912</v>
      </c>
      <c r="Y72" s="3"/>
      <c r="Z72" s="8">
        <f t="shared" si="19"/>
        <v>0.45600000000000002</v>
      </c>
    </row>
    <row r="73" spans="1:26" s="69" customFormat="1" ht="15" customHeight="1" outlineLevel="1" collapsed="1" x14ac:dyDescent="0.3">
      <c r="A73" s="25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SUM(OSRRefD22_10x_0)</f>
        <v>110.47</v>
      </c>
      <c r="E73" s="2"/>
      <c r="F73" s="6">
        <f t="shared" si="12"/>
        <v>3.4516953098219142E-4</v>
      </c>
      <c r="G73" s="2"/>
      <c r="H73" s="2">
        <f>SUM(OSRRefH22_10x_0)</f>
        <v>325</v>
      </c>
      <c r="I73" s="2"/>
      <c r="J73" s="6">
        <f t="shared" si="13"/>
        <v>1.5759103913106725E-3</v>
      </c>
      <c r="K73" s="2"/>
      <c r="L73" s="2">
        <f t="shared" si="14"/>
        <v>-214.53</v>
      </c>
      <c r="M73" s="2"/>
      <c r="N73" s="6">
        <f t="shared" si="15"/>
        <v>-0.66009230769230764</v>
      </c>
      <c r="O73" s="14"/>
      <c r="P73" s="2">
        <f>SUM(OSRRefP22_10x_0)</f>
        <v>1915.21</v>
      </c>
      <c r="Q73" s="2"/>
      <c r="R73" s="6">
        <f t="shared" si="16"/>
        <v>9.2499098341347987E-4</v>
      </c>
      <c r="S73" s="2"/>
      <c r="T73" s="2">
        <f>SUM(OSRRefT22_10x_0)</f>
        <v>3250</v>
      </c>
      <c r="U73" s="2"/>
      <c r="V73" s="6">
        <f t="shared" si="17"/>
        <v>1.8137243685867404E-3</v>
      </c>
      <c r="W73" s="2"/>
      <c r="X73" s="2">
        <f t="shared" si="18"/>
        <v>-1334.79</v>
      </c>
      <c r="Y73" s="2"/>
      <c r="Z73" s="6">
        <f t="shared" si="19"/>
        <v>-0.41070461538461539</v>
      </c>
    </row>
    <row r="74" spans="1:26" s="70" customFormat="1" ht="15" hidden="1" customHeight="1" outlineLevel="2" x14ac:dyDescent="0.3">
      <c r="A74" s="26"/>
      <c r="B74" s="12" t="str">
        <f>CONCATENATE("          ","6309"," - ","TELEPHONE")</f>
        <v xml:space="preserve">          6309 - TELEPHONE</v>
      </c>
      <c r="C74" s="12"/>
      <c r="D74" s="7">
        <v>110.47</v>
      </c>
      <c r="E74" s="3"/>
      <c r="F74" s="8">
        <f t="shared" si="12"/>
        <v>3.4516953098219142E-4</v>
      </c>
      <c r="G74" s="3"/>
      <c r="H74" s="7">
        <v>325</v>
      </c>
      <c r="I74" s="3"/>
      <c r="J74" s="8">
        <f t="shared" si="13"/>
        <v>1.5759103913106725E-3</v>
      </c>
      <c r="K74" s="3"/>
      <c r="L74" s="7">
        <f t="shared" si="14"/>
        <v>-214.53</v>
      </c>
      <c r="M74" s="3"/>
      <c r="N74" s="8">
        <f t="shared" si="15"/>
        <v>-0.66009230769230764</v>
      </c>
      <c r="O74" s="12"/>
      <c r="P74" s="7">
        <v>1915.21</v>
      </c>
      <c r="Q74" s="3"/>
      <c r="R74" s="8">
        <f t="shared" si="16"/>
        <v>9.2499098341347987E-4</v>
      </c>
      <c r="S74" s="3"/>
      <c r="T74" s="7">
        <v>3250</v>
      </c>
      <c r="U74" s="3"/>
      <c r="V74" s="8">
        <f t="shared" si="17"/>
        <v>1.8137243685867404E-3</v>
      </c>
      <c r="W74" s="3"/>
      <c r="X74" s="7">
        <f t="shared" si="18"/>
        <v>-1334.79</v>
      </c>
      <c r="Y74" s="3"/>
      <c r="Z74" s="8">
        <f t="shared" si="19"/>
        <v>-0.41070461538461539</v>
      </c>
    </row>
    <row r="75" spans="1:26" s="65" customFormat="1" ht="15" customHeight="1" x14ac:dyDescent="0.3">
      <c r="A75" s="35"/>
      <c r="B75" s="35"/>
      <c r="C75" s="35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5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3" customFormat="1" ht="15" customHeight="1" collapsed="1" x14ac:dyDescent="0.3">
      <c r="A76" s="11"/>
      <c r="B76" s="28" t="s">
        <v>291</v>
      </c>
      <c r="C76" s="11"/>
      <c r="D76" s="5">
        <f>SUM(OSRRefD25x_0)</f>
        <v>1497.14</v>
      </c>
      <c r="E76" s="5"/>
      <c r="F76" s="13">
        <f>IF(D$12=0,0,D76/D$12)</f>
        <v>4.6778954613440581E-3</v>
      </c>
      <c r="G76" s="5"/>
      <c r="H76" s="5">
        <f>SUM(OSRRefH25x_0)</f>
        <v>2157</v>
      </c>
      <c r="I76" s="5"/>
      <c r="J76" s="13">
        <f>IF(H$12=0,0,H76/H$12)</f>
        <v>1.045919604325268E-2</v>
      </c>
      <c r="K76" s="5"/>
      <c r="L76" s="5">
        <f>+D76-H76</f>
        <v>-659.8599999999999</v>
      </c>
      <c r="M76" s="5"/>
      <c r="N76" s="13">
        <f>IF(H76=0,0,L76/H76)</f>
        <v>-0.30591562355122853</v>
      </c>
      <c r="O76" s="11"/>
      <c r="P76" s="5">
        <f>SUM(OSRRefP25x_0)</f>
        <v>4838.08</v>
      </c>
      <c r="Q76" s="5"/>
      <c r="R76" s="13">
        <f>IF(P$12=0,0,P76/P$12)</f>
        <v>2.3366525744085965E-3</v>
      </c>
      <c r="S76" s="5"/>
      <c r="T76" s="5">
        <f>SUM(OSRRefT25x_0)</f>
        <v>16747</v>
      </c>
      <c r="U76" s="5"/>
      <c r="V76" s="13">
        <f>IF(T$12=0,0,T76/T$12)</f>
        <v>9.345982154068351E-3</v>
      </c>
      <c r="W76" s="5"/>
      <c r="X76" s="5">
        <f>+P76-T76</f>
        <v>-11908.92</v>
      </c>
      <c r="Y76" s="5"/>
      <c r="Z76" s="13">
        <f>IF(T76=0,0,X76/T76)</f>
        <v>-0.71110766107362511</v>
      </c>
    </row>
    <row r="77" spans="1:26" s="70" customFormat="1" ht="15" hidden="1" customHeight="1" outlineLevel="1" x14ac:dyDescent="0.3">
      <c r="A77" s="42"/>
      <c r="B77" s="12" t="str">
        <f>CONCATENATE("          ","4187"," - ","NON-TAXABLE SALES-COMPUTER REP")</f>
        <v xml:space="preserve">          4187 - NON-TAXABLE SALES-COMPUTER REP</v>
      </c>
      <c r="C77" s="12"/>
      <c r="D77" s="3">
        <f>0</f>
        <v>0</v>
      </c>
      <c r="E77" s="3"/>
      <c r="F77" s="20">
        <f>IF(D$12=0,0,D77/D$12)</f>
        <v>0</v>
      </c>
      <c r="G77" s="3"/>
      <c r="H77" s="3"/>
      <c r="I77" s="3"/>
      <c r="J77" s="20">
        <f>IF(H$12=0,0,H77/H$12)</f>
        <v>0</v>
      </c>
      <c r="K77" s="3"/>
      <c r="L77" s="3">
        <f>+D77-H77</f>
        <v>0</v>
      </c>
      <c r="M77" s="3"/>
      <c r="N77" s="20">
        <f>IF(H77=0,0,L77/H77)</f>
        <v>0</v>
      </c>
      <c r="O77" s="12"/>
      <c r="P77" s="3">
        <f>0</f>
        <v>0</v>
      </c>
      <c r="Q77" s="3"/>
      <c r="R77" s="20">
        <f>IF(P$12=0,0,P77/P$12)</f>
        <v>0</v>
      </c>
      <c r="S77" s="3"/>
      <c r="T77" s="3"/>
      <c r="U77" s="3"/>
      <c r="V77" s="20">
        <f>IF(T$12=0,0,T77/T$12)</f>
        <v>0</v>
      </c>
      <c r="W77" s="3"/>
      <c r="X77" s="3">
        <f>+P77-T77</f>
        <v>0</v>
      </c>
      <c r="Y77" s="3"/>
      <c r="Z77" s="20">
        <f>IF(T77=0,0,X77/T77)</f>
        <v>0</v>
      </c>
    </row>
    <row r="78" spans="1:26" s="70" customFormat="1" ht="15" hidden="1" customHeight="1" outlineLevel="1" x14ac:dyDescent="0.3">
      <c r="A78" s="42"/>
      <c r="B78" s="12" t="str">
        <f>CONCATENATE("          ","9087"," - ","")</f>
        <v xml:space="preserve">          9087 - </v>
      </c>
      <c r="C78" s="12"/>
      <c r="D78" s="3">
        <f>--1264.22</f>
        <v>1264.22</v>
      </c>
      <c r="E78" s="3"/>
      <c r="F78" s="20">
        <f>IF(D$12=0,0,D78/D$12)</f>
        <v>3.9501242369720836E-3</v>
      </c>
      <c r="G78" s="3"/>
      <c r="H78" s="3"/>
      <c r="I78" s="3"/>
      <c r="J78" s="20">
        <f>IF(H$12=0,0,H78/H$12)</f>
        <v>0</v>
      </c>
      <c r="K78" s="3"/>
      <c r="L78" s="3">
        <f>+D78-H78</f>
        <v>1264.22</v>
      </c>
      <c r="M78" s="3"/>
      <c r="N78" s="20">
        <f>IF(H78=0,0,L78/H78)</f>
        <v>0</v>
      </c>
      <c r="O78" s="12"/>
      <c r="P78" s="3">
        <f>--1996</f>
        <v>1996</v>
      </c>
      <c r="Q78" s="3"/>
      <c r="R78" s="20">
        <f>IF(P$12=0,0,P78/P$12)</f>
        <v>9.6401021448995451E-4</v>
      </c>
      <c r="S78" s="3"/>
      <c r="T78" s="3"/>
      <c r="U78" s="3"/>
      <c r="V78" s="20">
        <f>IF(T$12=0,0,T78/T$12)</f>
        <v>0</v>
      </c>
      <c r="W78" s="3"/>
      <c r="X78" s="3">
        <f>+P78-T78</f>
        <v>1996</v>
      </c>
      <c r="Y78" s="3"/>
      <c r="Z78" s="20">
        <f>IF(T78=0,0,X78/T78)</f>
        <v>0</v>
      </c>
    </row>
    <row r="79" spans="1:26" s="70" customFormat="1" ht="15" hidden="1" customHeight="1" outlineLevel="1" x14ac:dyDescent="0.3">
      <c r="A79" s="42"/>
      <c r="B79" s="12" t="str">
        <f>CONCATENATE("          ","9150"," - ","MISC. INCOME")</f>
        <v xml:space="preserve">          9150 - MISC. INCOME</v>
      </c>
      <c r="C79" s="12"/>
      <c r="D79" s="3">
        <f>--232.92</f>
        <v>232.92</v>
      </c>
      <c r="E79" s="3"/>
      <c r="F79" s="20">
        <f>IF(D$12=0,0,D79/D$12)</f>
        <v>7.2777122437197455E-4</v>
      </c>
      <c r="G79" s="3"/>
      <c r="H79" s="3">
        <v>2157</v>
      </c>
      <c r="I79" s="3"/>
      <c r="J79" s="20">
        <f>IF(H$12=0,0,H79/H$12)</f>
        <v>1.045919604325268E-2</v>
      </c>
      <c r="K79" s="3"/>
      <c r="L79" s="3">
        <f>+D79-H79</f>
        <v>-1924.08</v>
      </c>
      <c r="M79" s="3"/>
      <c r="N79" s="20">
        <f>IF(H79=0,0,L79/H79)</f>
        <v>-0.89201668984700966</v>
      </c>
      <c r="O79" s="12"/>
      <c r="P79" s="3">
        <f>--2842.08</f>
        <v>2842.08</v>
      </c>
      <c r="Q79" s="3"/>
      <c r="R79" s="20">
        <f>IF(P$12=0,0,P79/P$12)</f>
        <v>1.3726423599186421E-3</v>
      </c>
      <c r="S79" s="3"/>
      <c r="T79" s="3">
        <v>16747</v>
      </c>
      <c r="U79" s="3"/>
      <c r="V79" s="20">
        <f>IF(T$12=0,0,T79/T$12)</f>
        <v>9.345982154068351E-3</v>
      </c>
      <c r="W79" s="3"/>
      <c r="X79" s="3">
        <f>+P79-T79</f>
        <v>-13904.92</v>
      </c>
      <c r="Y79" s="3"/>
      <c r="Z79" s="20">
        <f>IF(T79=0,0,X79/T79)</f>
        <v>-0.83029318683943398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292</v>
      </c>
      <c r="C81" s="27"/>
      <c r="D81" s="21">
        <f>+D31-D33+D76</f>
        <v>8947.9600000000391</v>
      </c>
      <c r="E81" s="15"/>
      <c r="F81" s="23">
        <f>IF(D$12=0,0,D81/D$12)</f>
        <v>2.7958388308567242E-2</v>
      </c>
      <c r="G81" s="15"/>
      <c r="H81" s="21">
        <f>+H31-H33+H76</f>
        <v>6129.1654209125008</v>
      </c>
      <c r="I81" s="15"/>
      <c r="J81" s="23">
        <f>IF(H$12=0,0,H81/H$12)</f>
        <v>2.972004762116327E-2</v>
      </c>
      <c r="K81" s="17"/>
      <c r="L81" s="21">
        <f>+D81-H81</f>
        <v>2818.7945790875383</v>
      </c>
      <c r="M81" s="17"/>
      <c r="N81" s="23">
        <f>IF(H81=0,0,L81/H81)</f>
        <v>0.45989859720051096</v>
      </c>
      <c r="O81" s="28"/>
      <c r="P81" s="21">
        <f>+P31-P33+P76</f>
        <v>153333.49999999997</v>
      </c>
      <c r="Q81" s="15"/>
      <c r="R81" s="23">
        <f>IF(P$12=0,0,P81/P$12)</f>
        <v>7.405564139453677E-2</v>
      </c>
      <c r="S81" s="15"/>
      <c r="T81" s="21">
        <f>+T31-T33+T76</f>
        <v>45144.283786429995</v>
      </c>
      <c r="U81" s="15"/>
      <c r="V81" s="23">
        <f>IF(T$12=0,0,T81/T$12)</f>
        <v>2.5193626955644113E-2</v>
      </c>
      <c r="W81" s="17"/>
      <c r="X81" s="21">
        <f>+P81-T81</f>
        <v>108189.21621356998</v>
      </c>
      <c r="Y81" s="17"/>
      <c r="Z81" s="23">
        <f>IF(T81=0,0,X81/T81)</f>
        <v>2.396520824771414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49"/>
      <c r="B83" s="11" t="s">
        <v>293</v>
      </c>
      <c r="C83" s="11"/>
      <c r="D83" s="5">
        <v>25641.73</v>
      </c>
      <c r="E83" s="5"/>
      <c r="F83" s="13">
        <f>IF(D$12=0,0,D83/D$12)</f>
        <v>8.0118981783941223E-2</v>
      </c>
      <c r="G83" s="5"/>
      <c r="H83" s="5">
        <v>27324</v>
      </c>
      <c r="I83" s="5"/>
      <c r="J83" s="13">
        <f>IF(H$12=0,0,H83/H$12)</f>
        <v>0.13249284779130097</v>
      </c>
      <c r="K83" s="5"/>
      <c r="L83" s="5">
        <f>+D83-H83</f>
        <v>-1682.2700000000004</v>
      </c>
      <c r="M83" s="5"/>
      <c r="N83" s="13">
        <f>IF(H83=0,0,L83/H83)</f>
        <v>-6.1567486458790822E-2</v>
      </c>
      <c r="O83" s="11"/>
      <c r="P83" s="5">
        <v>234556.25</v>
      </c>
      <c r="Q83" s="5"/>
      <c r="R83" s="13">
        <f>IF(P$12=0,0,P83/P$12)</f>
        <v>0.11328387819261493</v>
      </c>
      <c r="S83" s="5"/>
      <c r="T83" s="5">
        <v>220430</v>
      </c>
      <c r="U83" s="5"/>
      <c r="V83" s="13">
        <f>IF(T$12=0,0,T83/T$12)</f>
        <v>0.12301515771310005</v>
      </c>
      <c r="W83" s="5"/>
      <c r="X83" s="5">
        <f>+P83-T83</f>
        <v>14126.25</v>
      </c>
      <c r="Y83" s="5"/>
      <c r="Z83" s="13">
        <f>IF(T83=0,0,X83/T83)</f>
        <v>6.4084970285351359E-2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7" t="s">
        <v>294</v>
      </c>
      <c r="C85" s="27"/>
      <c r="D85" s="29">
        <f>+D81-D83</f>
        <v>-16693.76999999996</v>
      </c>
      <c r="E85" s="15"/>
      <c r="F85" s="30">
        <f>IF(D$12=0,0,D85/D$12)</f>
        <v>-5.2160593475373988E-2</v>
      </c>
      <c r="G85" s="15"/>
      <c r="H85" s="29">
        <f>+H81-H83</f>
        <v>-21194.834579087499</v>
      </c>
      <c r="I85" s="15"/>
      <c r="J85" s="30">
        <f>IF(H$12=0,0,H85/H$12)</f>
        <v>-0.10277280017013771</v>
      </c>
      <c r="K85" s="17"/>
      <c r="L85" s="29">
        <f>D85-H85</f>
        <v>4501.0645790875387</v>
      </c>
      <c r="M85" s="17"/>
      <c r="N85" s="30">
        <f>IF(H85=0,0,L85/H85)</f>
        <v>-0.21236611035070993</v>
      </c>
      <c r="O85" s="28"/>
      <c r="P85" s="29">
        <f>+P81-P83</f>
        <v>-81222.750000000029</v>
      </c>
      <c r="Q85" s="15"/>
      <c r="R85" s="30">
        <f>IF(P$12=0,0,P85/P$12)</f>
        <v>-3.9228236798078145E-2</v>
      </c>
      <c r="S85" s="15"/>
      <c r="T85" s="29">
        <f>+T81-T83</f>
        <v>-175285.71621357001</v>
      </c>
      <c r="U85" s="15"/>
      <c r="V85" s="30">
        <f>IF(T$12=0,0,T85/T$12)</f>
        <v>-9.7821530757455949E-2</v>
      </c>
      <c r="W85" s="17"/>
      <c r="X85" s="29">
        <f>P85-T85</f>
        <v>94062.966213569976</v>
      </c>
      <c r="Y85" s="17"/>
      <c r="Z85" s="30">
        <f>IF(T85=0,0,X85/T85)</f>
        <v>-0.53662653321370835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11"/>
      <c r="B88" s="27" t="s">
        <v>297</v>
      </c>
      <c r="C88" s="27"/>
      <c r="D88" s="32">
        <f>SUM(D85:D87)</f>
        <v>-16693.76999999996</v>
      </c>
      <c r="E88" s="15"/>
      <c r="F88" s="34">
        <f>IF(D$12=0,0,D88/D$12)</f>
        <v>-5.2160593475373988E-2</v>
      </c>
      <c r="G88" s="15"/>
      <c r="H88" s="32">
        <f>SUM(H85:H87)</f>
        <v>-21194.834579087499</v>
      </c>
      <c r="I88" s="15"/>
      <c r="J88" s="34">
        <f>IF(H$12=0,0,H88/H$12)</f>
        <v>-0.10277280017013771</v>
      </c>
      <c r="K88" s="17"/>
      <c r="L88" s="32">
        <f>+D88-H88</f>
        <v>4501.0645790875387</v>
      </c>
      <c r="M88" s="17"/>
      <c r="N88" s="34">
        <f>IF(H88=0,0,L88/H88)</f>
        <v>-0.21236611035070993</v>
      </c>
      <c r="O88" s="28"/>
      <c r="P88" s="32">
        <f>SUM(P85:P87)</f>
        <v>-81222.750000000029</v>
      </c>
      <c r="Q88" s="15"/>
      <c r="R88" s="34">
        <f>IF(P$12=0,0,P88/P$12)</f>
        <v>-3.9228236798078145E-2</v>
      </c>
      <c r="S88" s="15"/>
      <c r="T88" s="32">
        <f>SUM(T85:T87)</f>
        <v>-175285.71621357001</v>
      </c>
      <c r="U88" s="15"/>
      <c r="V88" s="34">
        <f>IF(T$12=0,0,T88/T$12)</f>
        <v>-9.7821530757455949E-2</v>
      </c>
      <c r="W88" s="17"/>
      <c r="X88" s="32">
        <f>+P88-T88</f>
        <v>94062.966213569976</v>
      </c>
      <c r="Y88" s="17"/>
      <c r="Z88" s="34">
        <f>IF(T88=0,0,X88/T88)</f>
        <v>-0.53662653321370835</v>
      </c>
    </row>
    <row r="89" spans="1:26" ht="15" customHeight="1" x14ac:dyDescent="0.3">
      <c r="A89" s="10"/>
      <c r="C89" s="10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6">
        <v>44694.88854039352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0" t="s">
        <v>298</v>
      </c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A92" s="10"/>
      <c r="B92" s="51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2C354-2802-242A-8D08-3D6D9BFA3E89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","317"," - ","Computer Store")</f>
        <v>Department 317 - Computer Store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320045.63000000006</v>
      </c>
      <c r="E12" s="5"/>
      <c r="F12" s="13"/>
      <c r="G12" s="5"/>
      <c r="H12" s="5">
        <f>SUM(OSRRefH13x_0)</f>
        <v>206230</v>
      </c>
      <c r="I12" s="5"/>
      <c r="J12" s="13"/>
      <c r="K12" s="5"/>
      <c r="L12" s="5">
        <f t="shared" ref="L12:L17" si="0">+D12-H12</f>
        <v>113815.63000000006</v>
      </c>
      <c r="M12" s="5"/>
      <c r="N12" s="13">
        <f t="shared" ref="N12:N17" si="1">IF(H12=0,0,L12/H12)</f>
        <v>0.55188687387867941</v>
      </c>
      <c r="O12" s="11"/>
      <c r="P12" s="5">
        <f>SUM(OSRRefP13x_0)</f>
        <v>2070517.48</v>
      </c>
      <c r="Q12" s="5"/>
      <c r="R12" s="13"/>
      <c r="S12" s="5"/>
      <c r="T12" s="5">
        <f>SUM(OSRRefT13x_0)</f>
        <v>1791893</v>
      </c>
      <c r="U12" s="5"/>
      <c r="V12" s="13"/>
      <c r="W12" s="5"/>
      <c r="X12" s="5">
        <f t="shared" ref="X12:X17" si="2">+P12-T12</f>
        <v>278624.48</v>
      </c>
      <c r="Y12" s="5"/>
      <c r="Z12" s="13">
        <f t="shared" ref="Z12:Z17" si="3">IF(T12=0,0,X12/T12)</f>
        <v>0.15549169509563349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--489932.51</f>
        <v>489932.51</v>
      </c>
      <c r="E13" s="3"/>
      <c r="F13" s="20"/>
      <c r="G13" s="3"/>
      <c r="H13" s="3">
        <v>188537</v>
      </c>
      <c r="I13" s="3"/>
      <c r="J13" s="20"/>
      <c r="K13" s="3"/>
      <c r="L13" s="3">
        <f t="shared" si="0"/>
        <v>301395.51</v>
      </c>
      <c r="M13" s="3"/>
      <c r="N13" s="20">
        <f t="shared" si="1"/>
        <v>1.5986013885868557</v>
      </c>
      <c r="O13" s="12"/>
      <c r="P13" s="3">
        <f>--1948608.19</f>
        <v>1948608.19</v>
      </c>
      <c r="Q13" s="3"/>
      <c r="R13" s="20"/>
      <c r="S13" s="3"/>
      <c r="T13" s="3">
        <v>1665333</v>
      </c>
      <c r="U13" s="3"/>
      <c r="V13" s="20"/>
      <c r="W13" s="3"/>
      <c r="X13" s="3">
        <f t="shared" si="2"/>
        <v>283275.18999999994</v>
      </c>
      <c r="Y13" s="3"/>
      <c r="Z13" s="20">
        <f t="shared" si="3"/>
        <v>0.17010122900344854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--52054.68</f>
        <v>52054.68</v>
      </c>
      <c r="E14" s="3"/>
      <c r="F14" s="20"/>
      <c r="G14" s="3"/>
      <c r="H14" s="3">
        <v>17693</v>
      </c>
      <c r="I14" s="3"/>
      <c r="J14" s="20"/>
      <c r="K14" s="3"/>
      <c r="L14" s="3">
        <f t="shared" si="0"/>
        <v>34361.68</v>
      </c>
      <c r="M14" s="3"/>
      <c r="N14" s="20">
        <f t="shared" si="1"/>
        <v>1.942105917594529</v>
      </c>
      <c r="O14" s="12"/>
      <c r="P14" s="3">
        <f>--625634</f>
        <v>625634</v>
      </c>
      <c r="Q14" s="3"/>
      <c r="R14" s="20"/>
      <c r="S14" s="3"/>
      <c r="T14" s="3">
        <v>126560</v>
      </c>
      <c r="U14" s="3"/>
      <c r="V14" s="20"/>
      <c r="W14" s="3"/>
      <c r="X14" s="3">
        <f t="shared" si="2"/>
        <v>499074</v>
      </c>
      <c r="Y14" s="3"/>
      <c r="Z14" s="20">
        <f t="shared" si="3"/>
        <v>3.9433786346396964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-221809.74</f>
        <v>-221809.74</v>
      </c>
      <c r="E15" s="3"/>
      <c r="F15" s="20"/>
      <c r="G15" s="3"/>
      <c r="H15" s="3"/>
      <c r="I15" s="3"/>
      <c r="J15" s="20"/>
      <c r="K15" s="3"/>
      <c r="L15" s="3">
        <f t="shared" si="0"/>
        <v>-221809.74</v>
      </c>
      <c r="M15" s="3"/>
      <c r="N15" s="20">
        <f t="shared" si="1"/>
        <v>0</v>
      </c>
      <c r="O15" s="12"/>
      <c r="P15" s="3">
        <f>-501319.95</f>
        <v>-501319.95</v>
      </c>
      <c r="Q15" s="3"/>
      <c r="R15" s="20"/>
      <c r="S15" s="3"/>
      <c r="T15" s="3"/>
      <c r="U15" s="3"/>
      <c r="V15" s="20"/>
      <c r="W15" s="3"/>
      <c r="X15" s="3">
        <f t="shared" si="2"/>
        <v>-501319.95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-131.82</f>
        <v>-131.82</v>
      </c>
      <c r="E17" s="3"/>
      <c r="F17" s="20"/>
      <c r="G17" s="3"/>
      <c r="H17" s="3"/>
      <c r="I17" s="3"/>
      <c r="J17" s="20"/>
      <c r="K17" s="3"/>
      <c r="L17" s="3">
        <f t="shared" si="0"/>
        <v>-131.82</v>
      </c>
      <c r="M17" s="3"/>
      <c r="N17" s="20">
        <f t="shared" si="1"/>
        <v>0</v>
      </c>
      <c r="O17" s="12"/>
      <c r="P17" s="3">
        <f>-1290.24</f>
        <v>-1290.24</v>
      </c>
      <c r="Q17" s="3"/>
      <c r="R17" s="20"/>
      <c r="S17" s="3"/>
      <c r="T17" s="3"/>
      <c r="U17" s="3"/>
      <c r="V17" s="20"/>
      <c r="W17" s="3"/>
      <c r="X17" s="3">
        <f t="shared" si="2"/>
        <v>-1290.24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291821.21000000002</v>
      </c>
      <c r="E19" s="5"/>
      <c r="F19" s="13">
        <f t="shared" ref="F19:F29" si="4">IF(D$12=0,0,D19/D$12)</f>
        <v>0.91181126266276458</v>
      </c>
      <c r="G19" s="5"/>
      <c r="H19" s="5">
        <f>SUM(OSRRefH16x_0)</f>
        <v>184575</v>
      </c>
      <c r="I19" s="5"/>
      <c r="J19" s="13">
        <f t="shared" ref="J19:J29" si="5">IF(H$12=0,0,H19/H$12)</f>
        <v>0.89499587838820738</v>
      </c>
      <c r="K19" s="5"/>
      <c r="L19" s="5">
        <f t="shared" ref="L19:L29" si="6">+D19-H19</f>
        <v>107246.21000000002</v>
      </c>
      <c r="M19" s="5"/>
      <c r="N19" s="13">
        <f t="shared" ref="N19:N29" si="7">IF(H19=0,0,L19/H19)</f>
        <v>0.58104407422457005</v>
      </c>
      <c r="O19" s="11"/>
      <c r="P19" s="5">
        <f>SUM(OSRRefP16x_0)</f>
        <v>1768593.54</v>
      </c>
      <c r="Q19" s="5"/>
      <c r="R19" s="13">
        <f t="shared" ref="R19:R29" si="8">IF(P$12=0,0,P19/P$12)</f>
        <v>0.85417947787622639</v>
      </c>
      <c r="S19" s="5"/>
      <c r="T19" s="5">
        <f>SUM(OSRRefT16x_0)</f>
        <v>1603741</v>
      </c>
      <c r="U19" s="5"/>
      <c r="V19" s="13">
        <f t="shared" ref="V19:V29" si="9">IF(T$12=0,0,T19/T$12)</f>
        <v>0.89499819464666697</v>
      </c>
      <c r="W19" s="5"/>
      <c r="X19" s="5">
        <f t="shared" ref="X19:X29" si="10">+P19-T19</f>
        <v>164852.54000000004</v>
      </c>
      <c r="Y19" s="5"/>
      <c r="Z19" s="13">
        <f t="shared" ref="Z19:Z29" si="11">IF(T19=0,0,X19/T19)</f>
        <v>0.10279249579576755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208073.68</v>
      </c>
      <c r="E20" s="3"/>
      <c r="F20" s="20">
        <f t="shared" si="4"/>
        <v>0.65013754444952099</v>
      </c>
      <c r="G20" s="3"/>
      <c r="H20" s="3">
        <v>184575</v>
      </c>
      <c r="I20" s="3"/>
      <c r="J20" s="20">
        <f t="shared" si="5"/>
        <v>0.89499587838820738</v>
      </c>
      <c r="K20" s="3"/>
      <c r="L20" s="3">
        <f t="shared" si="6"/>
        <v>23498.679999999993</v>
      </c>
      <c r="M20" s="3"/>
      <c r="N20" s="20">
        <f t="shared" si="7"/>
        <v>0.1273123662467831</v>
      </c>
      <c r="O20" s="12"/>
      <c r="P20" s="3">
        <v>1758099.22</v>
      </c>
      <c r="Q20" s="3"/>
      <c r="R20" s="20">
        <f t="shared" si="8"/>
        <v>0.8491110251336782</v>
      </c>
      <c r="S20" s="3"/>
      <c r="T20" s="3">
        <v>1603741</v>
      </c>
      <c r="U20" s="3"/>
      <c r="V20" s="20">
        <f t="shared" si="9"/>
        <v>0.89499819464666697</v>
      </c>
      <c r="W20" s="3"/>
      <c r="X20" s="3">
        <f t="shared" si="10"/>
        <v>154358.21999999997</v>
      </c>
      <c r="Y20" s="3"/>
      <c r="Z20" s="20">
        <f t="shared" si="11"/>
        <v>9.624884566772314E-2</v>
      </c>
    </row>
    <row r="21" spans="1:26" s="70" customFormat="1" ht="15" hidden="1" customHeight="1" outlineLevel="1" x14ac:dyDescent="0.3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-110193.26</v>
      </c>
      <c r="Q22" s="3"/>
      <c r="R22" s="20">
        <f t="shared" si="8"/>
        <v>-5.3220154412799259E-2</v>
      </c>
      <c r="S22" s="3"/>
      <c r="T22" s="3"/>
      <c r="U22" s="3"/>
      <c r="V22" s="20">
        <f t="shared" si="9"/>
        <v>0</v>
      </c>
      <c r="W22" s="3"/>
      <c r="X22" s="3">
        <f t="shared" si="10"/>
        <v>-110193.26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","5200"," - ","PURCHASES OFFSET")</f>
        <v xml:space="preserve">          5200 - PURCHASES OFFSET</v>
      </c>
      <c r="C26" s="12"/>
      <c r="D26" s="3">
        <v>-208105.25</v>
      </c>
      <c r="E26" s="3"/>
      <c r="F26" s="20">
        <f t="shared" si="4"/>
        <v>-0.65023618663376204</v>
      </c>
      <c r="G26" s="3"/>
      <c r="H26" s="3"/>
      <c r="I26" s="3"/>
      <c r="J26" s="20">
        <f t="shared" si="5"/>
        <v>0</v>
      </c>
      <c r="K26" s="3"/>
      <c r="L26" s="3">
        <f t="shared" si="6"/>
        <v>-208105.25</v>
      </c>
      <c r="M26" s="3"/>
      <c r="N26" s="20">
        <f t="shared" si="7"/>
        <v>0</v>
      </c>
      <c r="O26" s="12"/>
      <c r="P26" s="3">
        <v>-1758302.34</v>
      </c>
      <c r="Q26" s="3"/>
      <c r="R26" s="20">
        <f t="shared" si="8"/>
        <v>-0.84920912621322087</v>
      </c>
      <c r="S26" s="3"/>
      <c r="T26" s="3"/>
      <c r="U26" s="3"/>
      <c r="V26" s="20">
        <f t="shared" si="9"/>
        <v>0</v>
      </c>
      <c r="W26" s="3"/>
      <c r="X26" s="3">
        <f t="shared" si="10"/>
        <v>-1758302.34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","5300"," - ","COG$ OFFSET")</f>
        <v xml:space="preserve">          5300 - COG$ OFFSET</v>
      </c>
      <c r="C27" s="12"/>
      <c r="D27" s="3">
        <v>291821.21000000002</v>
      </c>
      <c r="E27" s="3"/>
      <c r="F27" s="20">
        <f t="shared" si="4"/>
        <v>0.91181126266276458</v>
      </c>
      <c r="G27" s="3"/>
      <c r="H27" s="3"/>
      <c r="I27" s="3"/>
      <c r="J27" s="20">
        <f t="shared" si="5"/>
        <v>0</v>
      </c>
      <c r="K27" s="3"/>
      <c r="L27" s="3">
        <f t="shared" si="6"/>
        <v>291821.21000000002</v>
      </c>
      <c r="M27" s="3"/>
      <c r="N27" s="20">
        <f t="shared" si="7"/>
        <v>0</v>
      </c>
      <c r="O27" s="12"/>
      <c r="P27" s="3">
        <v>1878786.8</v>
      </c>
      <c r="Q27" s="3"/>
      <c r="R27" s="20">
        <f t="shared" si="8"/>
        <v>0.90739963228902565</v>
      </c>
      <c r="S27" s="3"/>
      <c r="T27" s="3"/>
      <c r="U27" s="3"/>
      <c r="V27" s="20">
        <f t="shared" si="9"/>
        <v>0</v>
      </c>
      <c r="W27" s="3"/>
      <c r="X27" s="3">
        <f t="shared" si="10"/>
        <v>1878786.8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>
        <v>31.57</v>
      </c>
      <c r="E28" s="3"/>
      <c r="F28" s="20">
        <f t="shared" si="4"/>
        <v>9.8642184241040862E-5</v>
      </c>
      <c r="G28" s="3"/>
      <c r="H28" s="3"/>
      <c r="I28" s="3"/>
      <c r="J28" s="20">
        <f t="shared" si="5"/>
        <v>0</v>
      </c>
      <c r="K28" s="3"/>
      <c r="L28" s="3">
        <f t="shared" si="6"/>
        <v>31.57</v>
      </c>
      <c r="M28" s="3"/>
      <c r="N28" s="20">
        <f t="shared" si="7"/>
        <v>0</v>
      </c>
      <c r="O28" s="12"/>
      <c r="P28" s="3">
        <v>203.12</v>
      </c>
      <c r="Q28" s="3"/>
      <c r="R28" s="20">
        <f t="shared" si="8"/>
        <v>9.8101079542685143E-5</v>
      </c>
      <c r="S28" s="3"/>
      <c r="T28" s="3"/>
      <c r="U28" s="3"/>
      <c r="V28" s="20">
        <f t="shared" si="9"/>
        <v>0</v>
      </c>
      <c r="W28" s="3"/>
      <c r="X28" s="3">
        <f t="shared" si="10"/>
        <v>203.12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28224.420000000042</v>
      </c>
      <c r="E31" s="15"/>
      <c r="F31" s="23">
        <f>IF(D$12=0,0,D31/D$12)</f>
        <v>8.8188737337235437E-2</v>
      </c>
      <c r="G31" s="15"/>
      <c r="H31" s="21">
        <f>H12-H19</f>
        <v>21655</v>
      </c>
      <c r="I31" s="15"/>
      <c r="J31" s="23">
        <f>IF(H$12=0,0,H31/H$12)</f>
        <v>0.10500412161179266</v>
      </c>
      <c r="K31" s="17"/>
      <c r="L31" s="21">
        <f>+D31-H31</f>
        <v>6569.4200000000419</v>
      </c>
      <c r="M31" s="17"/>
      <c r="N31" s="23">
        <f>IF(H31=0,0,L31/H31)</f>
        <v>0.30336735165089085</v>
      </c>
      <c r="O31" s="28"/>
      <c r="P31" s="21">
        <f>P12-P19</f>
        <v>301923.93999999994</v>
      </c>
      <c r="Q31" s="15"/>
      <c r="R31" s="23">
        <f>IF(P$12=0,0,P31/P$12)</f>
        <v>0.14582052212377358</v>
      </c>
      <c r="S31" s="15"/>
      <c r="T31" s="21">
        <f>T12-T19</f>
        <v>188152</v>
      </c>
      <c r="U31" s="15"/>
      <c r="V31" s="23">
        <f>IF(T$12=0,0,T31/T$12)</f>
        <v>0.10500180535333303</v>
      </c>
      <c r="W31" s="17"/>
      <c r="X31" s="21">
        <f>+P31-T31</f>
        <v>113771.93999999994</v>
      </c>
      <c r="Y31" s="17"/>
      <c r="Z31" s="23">
        <f>IF(T31=0,0,X31/T31)</f>
        <v>0.60468100259364743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20773.600000000002</v>
      </c>
      <c r="E33" s="22"/>
      <c r="F33" s="33">
        <f t="shared" ref="F33:F74" si="12">IF(D$12=0,0,D33/D$12)</f>
        <v>6.4908244490012243E-2</v>
      </c>
      <c r="G33" s="22"/>
      <c r="H33" s="22" cm="1">
        <f t="array" ref="H33">SUM(OSRRefH22x_0)</f>
        <v>17682.834579087499</v>
      </c>
      <c r="I33" s="22"/>
      <c r="J33" s="33">
        <f t="shared" ref="J33:J74" si="13">IF(H$12=0,0,H33/H$12)</f>
        <v>8.5743270033882074E-2</v>
      </c>
      <c r="K33" s="5"/>
      <c r="L33" s="22">
        <f t="shared" ref="L33:L74" si="14">+D33-H33</f>
        <v>3090.765420912503</v>
      </c>
      <c r="M33" s="5"/>
      <c r="N33" s="33">
        <f t="shared" ref="N33:N74" si="15">IF(H33=0,0,L33/H33)</f>
        <v>0.17478902531655069</v>
      </c>
      <c r="O33" s="11"/>
      <c r="P33" s="22" cm="1">
        <f t="array" ref="P33">SUM(OSRRefP22x_0)</f>
        <v>153428.51999999996</v>
      </c>
      <c r="Q33" s="22"/>
      <c r="R33" s="33">
        <f t="shared" ref="R33:R74" si="16">IF(P$12=0,0,P33/P$12)</f>
        <v>7.4101533303645412E-2</v>
      </c>
      <c r="S33" s="22"/>
      <c r="T33" s="22" cm="1">
        <f t="array" ref="T33">SUM(OSRRefT22x_0)</f>
        <v>159754.71621357001</v>
      </c>
      <c r="U33" s="22"/>
      <c r="V33" s="33">
        <f t="shared" ref="V33:V74" si="17">IF(T$12=0,0,T33/T$12)</f>
        <v>8.9154160551757275E-2</v>
      </c>
      <c r="W33" s="5"/>
      <c r="X33" s="22">
        <f t="shared" ref="X33:X74" si="18">+P33-T33</f>
        <v>-6326.1962135700451</v>
      </c>
      <c r="Y33" s="5"/>
      <c r="Z33" s="33">
        <f t="shared" ref="Z33:Z74" si="19">IF(T33=0,0,X33/T33)</f>
        <v>-3.9599433203041053E-2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3918.19</v>
      </c>
      <c r="E34" s="2"/>
      <c r="F34" s="6">
        <f t="shared" si="12"/>
        <v>1.2242598032036867E-2</v>
      </c>
      <c r="G34" s="2"/>
      <c r="H34" s="2">
        <f>SUM(OSRRefH22_0x_0)</f>
        <v>3041.1563915874999</v>
      </c>
      <c r="I34" s="2"/>
      <c r="J34" s="6">
        <f t="shared" si="13"/>
        <v>1.4746430643395723E-2</v>
      </c>
      <c r="K34" s="2"/>
      <c r="L34" s="2">
        <f t="shared" si="14"/>
        <v>877.03360841250014</v>
      </c>
      <c r="M34" s="2"/>
      <c r="N34" s="6">
        <f t="shared" si="15"/>
        <v>0.28838819694987272</v>
      </c>
      <c r="O34" s="14"/>
      <c r="P34" s="2">
        <f>SUM(OSRRefP22_0x_0)</f>
        <v>27166.349999999995</v>
      </c>
      <c r="Q34" s="2"/>
      <c r="R34" s="6">
        <f t="shared" si="16"/>
        <v>1.312056056633726E-2</v>
      </c>
      <c r="S34" s="2"/>
      <c r="T34" s="2">
        <f>SUM(OSRRefT22_0x_0)</f>
        <v>28440.660163570003</v>
      </c>
      <c r="U34" s="2"/>
      <c r="V34" s="6">
        <f t="shared" si="17"/>
        <v>1.5871851814572634E-2</v>
      </c>
      <c r="W34" s="2"/>
      <c r="X34" s="2">
        <f t="shared" si="18"/>
        <v>-1274.3101635700077</v>
      </c>
      <c r="Y34" s="2"/>
      <c r="Z34" s="6">
        <f t="shared" si="19"/>
        <v>-4.4805927719015731E-2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860.47</v>
      </c>
      <c r="E35" s="3"/>
      <c r="F35" s="8">
        <f t="shared" si="12"/>
        <v>2.6885853745292503E-3</v>
      </c>
      <c r="G35" s="3"/>
      <c r="H35" s="7">
        <v>571.71439946249996</v>
      </c>
      <c r="I35" s="3"/>
      <c r="J35" s="8">
        <f t="shared" si="13"/>
        <v>2.7722174245381368E-3</v>
      </c>
      <c r="K35" s="3"/>
      <c r="L35" s="7">
        <f t="shared" si="14"/>
        <v>288.75560053750007</v>
      </c>
      <c r="M35" s="3"/>
      <c r="N35" s="8">
        <f t="shared" si="15"/>
        <v>0.50506966556898869</v>
      </c>
      <c r="O35" s="12"/>
      <c r="P35" s="7">
        <v>5754.15</v>
      </c>
      <c r="Q35" s="3"/>
      <c r="R35" s="8">
        <f t="shared" si="16"/>
        <v>2.7790878635808474E-3</v>
      </c>
      <c r="S35" s="3"/>
      <c r="T35" s="7">
        <v>5809.8559952699998</v>
      </c>
      <c r="U35" s="3"/>
      <c r="V35" s="8">
        <f t="shared" si="17"/>
        <v>3.2423007374156828E-3</v>
      </c>
      <c r="W35" s="3"/>
      <c r="X35" s="7">
        <f t="shared" si="18"/>
        <v>-55.70599527000013</v>
      </c>
      <c r="Y35" s="3"/>
      <c r="Z35" s="8">
        <f t="shared" si="19"/>
        <v>-9.5881886427739808E-3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147.80000000000001</v>
      </c>
      <c r="E36" s="3"/>
      <c r="F36" s="8">
        <f t="shared" si="12"/>
        <v>4.6180914890167374E-4</v>
      </c>
      <c r="G36" s="3"/>
      <c r="H36" s="7">
        <v>203.03713949999999</v>
      </c>
      <c r="I36" s="3"/>
      <c r="J36" s="8">
        <f t="shared" si="13"/>
        <v>9.8451796295398334E-4</v>
      </c>
      <c r="K36" s="3"/>
      <c r="L36" s="7">
        <f t="shared" si="14"/>
        <v>-55.237139499999984</v>
      </c>
      <c r="M36" s="3"/>
      <c r="N36" s="8">
        <f t="shared" si="15"/>
        <v>-0.27205436225129631</v>
      </c>
      <c r="O36" s="12"/>
      <c r="P36" s="7">
        <v>1446.9</v>
      </c>
      <c r="Q36" s="3"/>
      <c r="R36" s="8">
        <f t="shared" si="16"/>
        <v>6.988108112953483E-4</v>
      </c>
      <c r="S36" s="3"/>
      <c r="T36" s="7">
        <v>1813.5165204</v>
      </c>
      <c r="U36" s="3"/>
      <c r="V36" s="8">
        <f t="shared" si="17"/>
        <v>1.0120674171951115E-3</v>
      </c>
      <c r="W36" s="3"/>
      <c r="X36" s="7">
        <f t="shared" si="18"/>
        <v>-366.6165203999999</v>
      </c>
      <c r="Y36" s="3"/>
      <c r="Z36" s="8">
        <f t="shared" si="19"/>
        <v>-0.20215780571942998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1539.12</v>
      </c>
      <c r="E37" s="3"/>
      <c r="F37" s="8">
        <f t="shared" si="12"/>
        <v>4.8090642574935318E-3</v>
      </c>
      <c r="G37" s="3"/>
      <c r="H37" s="7">
        <v>1096.5</v>
      </c>
      <c r="I37" s="3"/>
      <c r="J37" s="8">
        <f t="shared" si="13"/>
        <v>5.3168792125296996E-3</v>
      </c>
      <c r="K37" s="3"/>
      <c r="L37" s="7">
        <f t="shared" si="14"/>
        <v>442.61999999999989</v>
      </c>
      <c r="M37" s="3"/>
      <c r="N37" s="8">
        <f t="shared" si="15"/>
        <v>0.40366621067031455</v>
      </c>
      <c r="O37" s="12"/>
      <c r="P37" s="7">
        <v>9906.89</v>
      </c>
      <c r="Q37" s="3"/>
      <c r="R37" s="8">
        <f t="shared" si="16"/>
        <v>4.7847410590322569E-3</v>
      </c>
      <c r="S37" s="3"/>
      <c r="T37" s="7">
        <v>10047</v>
      </c>
      <c r="U37" s="3"/>
      <c r="V37" s="8">
        <f t="shared" si="17"/>
        <v>5.6069196095972253E-3</v>
      </c>
      <c r="W37" s="3"/>
      <c r="X37" s="7">
        <f t="shared" si="18"/>
        <v>-140.11000000000058</v>
      </c>
      <c r="Y37" s="3"/>
      <c r="Z37" s="8">
        <f t="shared" si="19"/>
        <v>-1.3945456355130942E-2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26.64</v>
      </c>
      <c r="E38" s="3"/>
      <c r="F38" s="8">
        <f t="shared" si="12"/>
        <v>8.3238130762791523E-5</v>
      </c>
      <c r="G38" s="3"/>
      <c r="H38" s="7">
        <v>27.331922625000001</v>
      </c>
      <c r="I38" s="3"/>
      <c r="J38" s="8">
        <f t="shared" si="13"/>
        <v>1.3253126424380546E-4</v>
      </c>
      <c r="K38" s="3"/>
      <c r="L38" s="7">
        <f t="shared" si="14"/>
        <v>-0.69192262500000012</v>
      </c>
      <c r="M38" s="3"/>
      <c r="N38" s="8">
        <f t="shared" si="15"/>
        <v>-2.5315548945946138E-2</v>
      </c>
      <c r="O38" s="12"/>
      <c r="P38" s="7">
        <v>254.87</v>
      </c>
      <c r="Q38" s="3"/>
      <c r="R38" s="8">
        <f t="shared" si="16"/>
        <v>1.2309483134621978E-4</v>
      </c>
      <c r="S38" s="3"/>
      <c r="T38" s="7">
        <v>244.12722389999999</v>
      </c>
      <c r="U38" s="3"/>
      <c r="V38" s="8">
        <f t="shared" si="17"/>
        <v>1.3623984462241885E-4</v>
      </c>
      <c r="W38" s="3"/>
      <c r="X38" s="7">
        <f t="shared" si="18"/>
        <v>10.742776100000015</v>
      </c>
      <c r="Y38" s="3"/>
      <c r="Z38" s="8">
        <f t="shared" si="19"/>
        <v>4.4004826370370301E-2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179.61</v>
      </c>
      <c r="E39" s="3"/>
      <c r="F39" s="8">
        <f t="shared" si="12"/>
        <v>5.6120122621264963E-4</v>
      </c>
      <c r="G39" s="3"/>
      <c r="H39" s="7">
        <v>252.70766750000001</v>
      </c>
      <c r="I39" s="3"/>
      <c r="J39" s="8">
        <f t="shared" si="13"/>
        <v>1.2253681205450226E-3</v>
      </c>
      <c r="K39" s="3"/>
      <c r="L39" s="7">
        <f t="shared" si="14"/>
        <v>-73.0976675</v>
      </c>
      <c r="M39" s="3"/>
      <c r="N39" s="8">
        <f t="shared" si="15"/>
        <v>-0.28925781407087697</v>
      </c>
      <c r="O39" s="12"/>
      <c r="P39" s="7">
        <v>1218.29</v>
      </c>
      <c r="Q39" s="3"/>
      <c r="R39" s="8">
        <f t="shared" si="16"/>
        <v>5.8839879970489309E-4</v>
      </c>
      <c r="S39" s="3"/>
      <c r="T39" s="7">
        <v>2223.8274740000002</v>
      </c>
      <c r="U39" s="3"/>
      <c r="V39" s="8">
        <f t="shared" si="17"/>
        <v>1.2410492557312295E-3</v>
      </c>
      <c r="W39" s="3"/>
      <c r="X39" s="7">
        <f t="shared" si="18"/>
        <v>-1005.5374740000002</v>
      </c>
      <c r="Y39" s="3"/>
      <c r="Z39" s="8">
        <f t="shared" si="19"/>
        <v>-0.45216523572817419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157.46</v>
      </c>
      <c r="E41" s="3"/>
      <c r="F41" s="8">
        <f t="shared" si="12"/>
        <v>4.9199234496655989E-4</v>
      </c>
      <c r="G41" s="3"/>
      <c r="H41" s="7"/>
      <c r="I41" s="3"/>
      <c r="J41" s="8">
        <f t="shared" si="13"/>
        <v>0</v>
      </c>
      <c r="K41" s="3"/>
      <c r="L41" s="7">
        <f t="shared" si="14"/>
        <v>157.46</v>
      </c>
      <c r="M41" s="3"/>
      <c r="N41" s="8">
        <f t="shared" si="15"/>
        <v>0</v>
      </c>
      <c r="O41" s="12"/>
      <c r="P41" s="7">
        <v>160.12</v>
      </c>
      <c r="Q41" s="3"/>
      <c r="R41" s="8">
        <f t="shared" si="16"/>
        <v>7.7333324420907578E-5</v>
      </c>
      <c r="S41" s="3"/>
      <c r="T41" s="7"/>
      <c r="U41" s="3"/>
      <c r="V41" s="8">
        <f t="shared" si="17"/>
        <v>0</v>
      </c>
      <c r="W41" s="3"/>
      <c r="X41" s="7">
        <f t="shared" si="18"/>
        <v>160.12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390.91</v>
      </c>
      <c r="E42" s="3"/>
      <c r="F42" s="8">
        <f t="shared" si="12"/>
        <v>1.2214195832013076E-3</v>
      </c>
      <c r="G42" s="3"/>
      <c r="H42" s="7">
        <v>224.11383749999999</v>
      </c>
      <c r="I42" s="3"/>
      <c r="J42" s="8">
        <f t="shared" si="13"/>
        <v>1.0867179241623429E-3</v>
      </c>
      <c r="K42" s="3"/>
      <c r="L42" s="7">
        <f t="shared" si="14"/>
        <v>166.79616250000004</v>
      </c>
      <c r="M42" s="3"/>
      <c r="N42" s="8">
        <f t="shared" si="15"/>
        <v>0.74424749654291222</v>
      </c>
      <c r="O42" s="12"/>
      <c r="P42" s="7">
        <v>2931.34</v>
      </c>
      <c r="Q42" s="3"/>
      <c r="R42" s="8">
        <f t="shared" si="16"/>
        <v>1.4157523557830577E-3</v>
      </c>
      <c r="S42" s="3"/>
      <c r="T42" s="7">
        <v>1972.2017699999999</v>
      </c>
      <c r="U42" s="3"/>
      <c r="V42" s="8">
        <f t="shared" si="17"/>
        <v>1.1006247415442775E-3</v>
      </c>
      <c r="W42" s="3"/>
      <c r="X42" s="7">
        <f t="shared" si="18"/>
        <v>959.13823000000025</v>
      </c>
      <c r="Y42" s="3"/>
      <c r="Z42" s="8">
        <f t="shared" si="19"/>
        <v>0.48632865287409222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366.78</v>
      </c>
      <c r="E43" s="3"/>
      <c r="F43" s="8">
        <f t="shared" si="12"/>
        <v>1.1460240841282535E-3</v>
      </c>
      <c r="G43" s="3"/>
      <c r="H43" s="7">
        <v>315.75142499999998</v>
      </c>
      <c r="I43" s="3"/>
      <c r="J43" s="8">
        <f t="shared" si="13"/>
        <v>1.5310644668573921E-3</v>
      </c>
      <c r="K43" s="3"/>
      <c r="L43" s="7">
        <f t="shared" si="14"/>
        <v>51.028574999999989</v>
      </c>
      <c r="M43" s="3"/>
      <c r="N43" s="8">
        <f t="shared" si="15"/>
        <v>0.16160995947999282</v>
      </c>
      <c r="O43" s="12"/>
      <c r="P43" s="7">
        <v>3669.99</v>
      </c>
      <c r="Q43" s="3"/>
      <c r="R43" s="8">
        <f t="shared" si="16"/>
        <v>1.7724989213807555E-3</v>
      </c>
      <c r="S43" s="3"/>
      <c r="T43" s="7">
        <v>2830.1311799999999</v>
      </c>
      <c r="U43" s="3"/>
      <c r="V43" s="8">
        <f t="shared" si="17"/>
        <v>1.5794085807578912E-3</v>
      </c>
      <c r="W43" s="3"/>
      <c r="X43" s="7">
        <f t="shared" si="18"/>
        <v>839.85881999999992</v>
      </c>
      <c r="Y43" s="3"/>
      <c r="Z43" s="8">
        <f t="shared" si="19"/>
        <v>0.29675614541655271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249.4</v>
      </c>
      <c r="E44" s="3"/>
      <c r="F44" s="8">
        <f t="shared" si="12"/>
        <v>7.7926388184084859E-4</v>
      </c>
      <c r="G44" s="3"/>
      <c r="H44" s="7">
        <v>350</v>
      </c>
      <c r="I44" s="3"/>
      <c r="J44" s="8">
        <f t="shared" si="13"/>
        <v>1.6971342675653398E-3</v>
      </c>
      <c r="K44" s="3"/>
      <c r="L44" s="7">
        <f t="shared" si="14"/>
        <v>-100.6</v>
      </c>
      <c r="M44" s="3"/>
      <c r="N44" s="8">
        <f t="shared" si="15"/>
        <v>-0.28742857142857142</v>
      </c>
      <c r="O44" s="12"/>
      <c r="P44" s="7">
        <v>1823.8</v>
      </c>
      <c r="Q44" s="3"/>
      <c r="R44" s="8">
        <f t="shared" si="16"/>
        <v>8.8084259979297544E-4</v>
      </c>
      <c r="S44" s="3"/>
      <c r="T44" s="7">
        <v>3500</v>
      </c>
      <c r="U44" s="3"/>
      <c r="V44" s="8">
        <f t="shared" si="17"/>
        <v>1.9532416277087974E-3</v>
      </c>
      <c r="W44" s="3"/>
      <c r="X44" s="7">
        <f t="shared" si="18"/>
        <v>-1676.2</v>
      </c>
      <c r="Y44" s="3"/>
      <c r="Z44" s="8">
        <f t="shared" si="19"/>
        <v>-0.47891428571428574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13530.35</v>
      </c>
      <c r="E45" s="2"/>
      <c r="F45" s="6">
        <f t="shared" si="12"/>
        <v>4.2276315411649265E-2</v>
      </c>
      <c r="G45" s="2"/>
      <c r="H45" s="2">
        <f>SUM(OSRRefH22_1x_0)</f>
        <v>12641.6781875</v>
      </c>
      <c r="I45" s="2"/>
      <c r="J45" s="6">
        <f t="shared" si="13"/>
        <v>6.1298929290112977E-2</v>
      </c>
      <c r="K45" s="2"/>
      <c r="L45" s="2">
        <f t="shared" si="14"/>
        <v>888.67181250000067</v>
      </c>
      <c r="M45" s="2"/>
      <c r="N45" s="6">
        <f t="shared" si="15"/>
        <v>7.0296981090589142E-2</v>
      </c>
      <c r="O45" s="14"/>
      <c r="P45" s="2">
        <f>SUM(OSRRefP22_1x_0)</f>
        <v>105835.56</v>
      </c>
      <c r="Q45" s="2"/>
      <c r="R45" s="6">
        <f t="shared" si="16"/>
        <v>5.1115511471074369E-2</v>
      </c>
      <c r="S45" s="2"/>
      <c r="T45" s="2">
        <f>SUM(OSRRefT22_1x_0)</f>
        <v>112964.05605</v>
      </c>
      <c r="U45" s="2"/>
      <c r="V45" s="6">
        <f t="shared" si="17"/>
        <v>6.3041741917625668E-2</v>
      </c>
      <c r="W45" s="2"/>
      <c r="X45" s="2">
        <f t="shared" si="18"/>
        <v>-7128.4960500000016</v>
      </c>
      <c r="Y45" s="2"/>
      <c r="Z45" s="6">
        <f t="shared" si="19"/>
        <v>-6.3104108503724374E-2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2040</v>
      </c>
      <c r="E47" s="3"/>
      <c r="F47" s="8">
        <f t="shared" si="12"/>
        <v>6.3740910944479999E-3</v>
      </c>
      <c r="G47" s="3"/>
      <c r="H47" s="7">
        <v>2791.5381874999998</v>
      </c>
      <c r="I47" s="3"/>
      <c r="J47" s="8">
        <f t="shared" si="13"/>
        <v>1.3536043192067108E-2</v>
      </c>
      <c r="K47" s="3"/>
      <c r="L47" s="7">
        <f t="shared" si="14"/>
        <v>-751.53818749999982</v>
      </c>
      <c r="M47" s="3"/>
      <c r="N47" s="8">
        <f t="shared" si="15"/>
        <v>-0.26922009910709843</v>
      </c>
      <c r="O47" s="12"/>
      <c r="P47" s="7">
        <v>18624.939999999999</v>
      </c>
      <c r="Q47" s="3"/>
      <c r="R47" s="8">
        <f t="shared" si="16"/>
        <v>8.9953068157627904E-3</v>
      </c>
      <c r="S47" s="3"/>
      <c r="T47" s="7">
        <v>24565.536049999999</v>
      </c>
      <c r="U47" s="3"/>
      <c r="V47" s="8">
        <f t="shared" si="17"/>
        <v>1.3709265034240326E-2</v>
      </c>
      <c r="W47" s="3"/>
      <c r="X47" s="7">
        <f t="shared" si="18"/>
        <v>-5940.5960500000001</v>
      </c>
      <c r="Y47" s="3"/>
      <c r="Z47" s="8">
        <f t="shared" si="19"/>
        <v>-0.2418264367571169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5423.45</v>
      </c>
      <c r="E49" s="3"/>
      <c r="F49" s="8">
        <f t="shared" si="12"/>
        <v>1.6945864875580394E-2</v>
      </c>
      <c r="G49" s="3"/>
      <c r="H49" s="7">
        <v>4305.3999999999996</v>
      </c>
      <c r="I49" s="3"/>
      <c r="J49" s="8">
        <f t="shared" si="13"/>
        <v>2.0876691073073751E-2</v>
      </c>
      <c r="K49" s="3"/>
      <c r="L49" s="7">
        <f t="shared" si="14"/>
        <v>1118.0500000000002</v>
      </c>
      <c r="M49" s="3"/>
      <c r="N49" s="8">
        <f t="shared" si="15"/>
        <v>0.25968551121846989</v>
      </c>
      <c r="O49" s="12"/>
      <c r="P49" s="7">
        <v>33896.089999999997</v>
      </c>
      <c r="Q49" s="3"/>
      <c r="R49" s="8">
        <f t="shared" si="16"/>
        <v>1.6370830155947293E-2</v>
      </c>
      <c r="S49" s="3"/>
      <c r="T49" s="7">
        <v>37887.519999999997</v>
      </c>
      <c r="U49" s="3"/>
      <c r="V49" s="8">
        <f t="shared" si="17"/>
        <v>2.1143851781328458E-2</v>
      </c>
      <c r="W49" s="3"/>
      <c r="X49" s="7">
        <f t="shared" si="18"/>
        <v>-3991.4300000000003</v>
      </c>
      <c r="Y49" s="3"/>
      <c r="Z49" s="8">
        <f t="shared" si="19"/>
        <v>-0.10534946599830236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>
        <v>2758.09</v>
      </c>
      <c r="E50" s="3"/>
      <c r="F50" s="8">
        <f t="shared" si="12"/>
        <v>8.617802405238276E-3</v>
      </c>
      <c r="G50" s="3"/>
      <c r="H50" s="7">
        <v>0</v>
      </c>
      <c r="I50" s="3"/>
      <c r="J50" s="8">
        <f t="shared" si="13"/>
        <v>0</v>
      </c>
      <c r="K50" s="3"/>
      <c r="L50" s="7">
        <f t="shared" si="14"/>
        <v>2758.09</v>
      </c>
      <c r="M50" s="3"/>
      <c r="N50" s="8">
        <f t="shared" si="15"/>
        <v>0</v>
      </c>
      <c r="O50" s="12"/>
      <c r="P50" s="7">
        <v>14713.03</v>
      </c>
      <c r="Q50" s="3"/>
      <c r="R50" s="8">
        <f t="shared" si="16"/>
        <v>7.1059675381248176E-3</v>
      </c>
      <c r="S50" s="3"/>
      <c r="T50" s="7">
        <v>0</v>
      </c>
      <c r="U50" s="3"/>
      <c r="V50" s="8">
        <f t="shared" si="17"/>
        <v>0</v>
      </c>
      <c r="W50" s="3"/>
      <c r="X50" s="7">
        <f t="shared" si="18"/>
        <v>14713.03</v>
      </c>
      <c r="Y50" s="3"/>
      <c r="Z50" s="8">
        <f t="shared" si="19"/>
        <v>0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3308.81</v>
      </c>
      <c r="E52" s="3"/>
      <c r="F52" s="8">
        <f t="shared" si="12"/>
        <v>1.0338557036382591E-2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3308.81</v>
      </c>
      <c r="M52" s="3"/>
      <c r="N52" s="8">
        <f t="shared" si="15"/>
        <v>0</v>
      </c>
      <c r="O52" s="12"/>
      <c r="P52" s="7">
        <v>32455.87</v>
      </c>
      <c r="Q52" s="3"/>
      <c r="R52" s="8">
        <f t="shared" si="16"/>
        <v>1.5675245591261561E-2</v>
      </c>
      <c r="S52" s="3"/>
      <c r="T52" s="7">
        <v>10176</v>
      </c>
      <c r="U52" s="3"/>
      <c r="V52" s="8">
        <f t="shared" si="17"/>
        <v>5.6789105153042061E-3</v>
      </c>
      <c r="W52" s="3"/>
      <c r="X52" s="7">
        <f t="shared" si="18"/>
        <v>22279.87</v>
      </c>
      <c r="Y52" s="3"/>
      <c r="Z52" s="8">
        <f t="shared" si="19"/>
        <v>2.1894526336477989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5544.74</v>
      </c>
      <c r="I53" s="3"/>
      <c r="J53" s="8">
        <f t="shared" si="13"/>
        <v>2.6886195024972116E-2</v>
      </c>
      <c r="K53" s="3"/>
      <c r="L53" s="7">
        <f t="shared" si="14"/>
        <v>-5544.74</v>
      </c>
      <c r="M53" s="3"/>
      <c r="N53" s="8">
        <f t="shared" si="15"/>
        <v>-1</v>
      </c>
      <c r="O53" s="12"/>
      <c r="P53" s="7">
        <v>6145.63</v>
      </c>
      <c r="Q53" s="3"/>
      <c r="R53" s="8">
        <f t="shared" si="16"/>
        <v>2.9681613699779055E-3</v>
      </c>
      <c r="S53" s="3"/>
      <c r="T53" s="7">
        <v>40335</v>
      </c>
      <c r="U53" s="3"/>
      <c r="V53" s="8">
        <f t="shared" si="17"/>
        <v>2.2509714586752667E-2</v>
      </c>
      <c r="W53" s="3"/>
      <c r="X53" s="7">
        <f t="shared" si="18"/>
        <v>-34189.370000000003</v>
      </c>
      <c r="Y53" s="3"/>
      <c r="Z53" s="8">
        <f t="shared" si="19"/>
        <v>-0.84763530432626755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0</v>
      </c>
      <c r="E56" s="2"/>
      <c r="F56" s="6">
        <f t="shared" si="12"/>
        <v>0</v>
      </c>
      <c r="G56" s="2"/>
      <c r="H56" s="2">
        <f>SUM(OSRRefH22_2x_0)</f>
        <v>200</v>
      </c>
      <c r="I56" s="2"/>
      <c r="J56" s="6">
        <f t="shared" si="13"/>
        <v>9.6979101003733697E-4</v>
      </c>
      <c r="K56" s="2"/>
      <c r="L56" s="2">
        <f t="shared" si="14"/>
        <v>-200</v>
      </c>
      <c r="M56" s="2"/>
      <c r="N56" s="6">
        <f t="shared" si="15"/>
        <v>-1</v>
      </c>
      <c r="O56" s="14"/>
      <c r="P56" s="2">
        <f>SUM(OSRRefP22_2x_0)</f>
        <v>178.97</v>
      </c>
      <c r="Q56" s="2"/>
      <c r="R56" s="6">
        <f t="shared" si="16"/>
        <v>8.6437328701035641E-5</v>
      </c>
      <c r="S56" s="2"/>
      <c r="T56" s="2">
        <f>SUM(OSRRefT22_2x_0)</f>
        <v>2000</v>
      </c>
      <c r="U56" s="2"/>
      <c r="V56" s="6">
        <f t="shared" si="17"/>
        <v>1.1161380729764556E-3</v>
      </c>
      <c r="W56" s="2"/>
      <c r="X56" s="2">
        <f t="shared" si="18"/>
        <v>-1821.03</v>
      </c>
      <c r="Y56" s="2"/>
      <c r="Z56" s="6">
        <f t="shared" si="19"/>
        <v>-0.91051499999999996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/>
      <c r="E57" s="3"/>
      <c r="F57" s="8">
        <f t="shared" si="12"/>
        <v>0</v>
      </c>
      <c r="G57" s="3"/>
      <c r="H57" s="7">
        <v>200</v>
      </c>
      <c r="I57" s="3"/>
      <c r="J57" s="8">
        <f t="shared" si="13"/>
        <v>9.6979101003733697E-4</v>
      </c>
      <c r="K57" s="3"/>
      <c r="L57" s="7">
        <f t="shared" si="14"/>
        <v>-200</v>
      </c>
      <c r="M57" s="3"/>
      <c r="N57" s="8">
        <f t="shared" si="15"/>
        <v>-1</v>
      </c>
      <c r="O57" s="12"/>
      <c r="P57" s="7">
        <v>178.97</v>
      </c>
      <c r="Q57" s="3"/>
      <c r="R57" s="8">
        <f t="shared" si="16"/>
        <v>8.6437328701035641E-5</v>
      </c>
      <c r="S57" s="3"/>
      <c r="T57" s="7">
        <v>2000</v>
      </c>
      <c r="U57" s="3"/>
      <c r="V57" s="8">
        <f t="shared" si="17"/>
        <v>1.1161380729764556E-3</v>
      </c>
      <c r="W57" s="3"/>
      <c r="X57" s="7">
        <f t="shared" si="18"/>
        <v>-1821.03</v>
      </c>
      <c r="Y57" s="3"/>
      <c r="Z57" s="8">
        <f t="shared" si="19"/>
        <v>-0.91051499999999996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8.7625005221911615E-4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2804.4</v>
      </c>
      <c r="Q58" s="2"/>
      <c r="R58" s="6">
        <f t="shared" si="16"/>
        <v>1.3544440107793731E-3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2804.4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","6322"," - ","EQUIPMENT DEPRECIATION EXPENSE")</f>
        <v xml:space="preserve">          6322 - EQUIPMENT DEPRECIATION EXPENSE</v>
      </c>
      <c r="C59" s="12"/>
      <c r="D59" s="7">
        <v>280.44</v>
      </c>
      <c r="E59" s="3"/>
      <c r="F59" s="8">
        <f t="shared" si="12"/>
        <v>8.7625005221911615E-4</v>
      </c>
      <c r="G59" s="3"/>
      <c r="H59" s="7"/>
      <c r="I59" s="3"/>
      <c r="J59" s="8">
        <f t="shared" si="13"/>
        <v>0</v>
      </c>
      <c r="K59" s="3"/>
      <c r="L59" s="7">
        <f t="shared" si="14"/>
        <v>280.44</v>
      </c>
      <c r="M59" s="3"/>
      <c r="N59" s="8">
        <f t="shared" si="15"/>
        <v>0</v>
      </c>
      <c r="O59" s="12"/>
      <c r="P59" s="7">
        <v>2804.4</v>
      </c>
      <c r="Q59" s="3"/>
      <c r="R59" s="8">
        <f t="shared" si="16"/>
        <v>1.3544440107793731E-3</v>
      </c>
      <c r="S59" s="3"/>
      <c r="T59" s="7"/>
      <c r="U59" s="3"/>
      <c r="V59" s="8">
        <f t="shared" si="17"/>
        <v>0</v>
      </c>
      <c r="W59" s="3"/>
      <c r="X59" s="7">
        <f t="shared" si="18"/>
        <v>2804.4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9.6979101003733691E-5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200</v>
      </c>
      <c r="U60" s="2"/>
      <c r="V60" s="6">
        <f t="shared" si="17"/>
        <v>1.1161380729764557E-4</v>
      </c>
      <c r="W60" s="2"/>
      <c r="X60" s="2">
        <f t="shared" si="18"/>
        <v>-200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20</v>
      </c>
      <c r="I61" s="3"/>
      <c r="J61" s="8">
        <f t="shared" si="13"/>
        <v>9.6979101003733691E-5</v>
      </c>
      <c r="K61" s="3"/>
      <c r="L61" s="7">
        <f t="shared" si="14"/>
        <v>-20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200</v>
      </c>
      <c r="U61" s="3"/>
      <c r="V61" s="8">
        <f t="shared" si="17"/>
        <v>1.1161380729764557E-4</v>
      </c>
      <c r="W61" s="3"/>
      <c r="X61" s="7">
        <f t="shared" si="18"/>
        <v>-200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7.2734325752800275E-5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5.8985254256341748E-5</v>
      </c>
      <c r="S62" s="2"/>
      <c r="T62" s="2">
        <f>SUM(OSRRefT22_5x_0)</f>
        <v>150</v>
      </c>
      <c r="U62" s="2"/>
      <c r="V62" s="6">
        <f t="shared" si="17"/>
        <v>8.3710355473234178E-5</v>
      </c>
      <c r="W62" s="2"/>
      <c r="X62" s="2">
        <f t="shared" si="18"/>
        <v>-27.870000000000005</v>
      </c>
      <c r="Y62" s="2"/>
      <c r="Z62" s="6">
        <f t="shared" si="19"/>
        <v>-0.18580000000000002</v>
      </c>
    </row>
    <row r="63" spans="1:26" s="70" customFormat="1" ht="15" hidden="1" customHeight="1" outlineLevel="2" x14ac:dyDescent="0.3">
      <c r="A63" s="26"/>
      <c r="B63" s="12" t="str">
        <f>CONCATENATE("          ","6305"," - ","FREIGHT OUT")</f>
        <v xml:space="preserve">          6305 - FREIGHT OUT</v>
      </c>
      <c r="C63" s="12"/>
      <c r="D63" s="7"/>
      <c r="E63" s="3"/>
      <c r="F63" s="8">
        <f t="shared" si="12"/>
        <v>0</v>
      </c>
      <c r="G63" s="3"/>
      <c r="H63" s="7">
        <v>15</v>
      </c>
      <c r="I63" s="3"/>
      <c r="J63" s="8">
        <f t="shared" si="13"/>
        <v>7.2734325752800275E-5</v>
      </c>
      <c r="K63" s="3"/>
      <c r="L63" s="7">
        <f t="shared" si="14"/>
        <v>-15</v>
      </c>
      <c r="M63" s="3"/>
      <c r="N63" s="8">
        <f t="shared" si="15"/>
        <v>-1</v>
      </c>
      <c r="O63" s="12"/>
      <c r="P63" s="7">
        <v>122.13</v>
      </c>
      <c r="Q63" s="3"/>
      <c r="R63" s="8">
        <f t="shared" si="16"/>
        <v>5.8985254256341748E-5</v>
      </c>
      <c r="S63" s="3"/>
      <c r="T63" s="7">
        <v>150</v>
      </c>
      <c r="U63" s="3"/>
      <c r="V63" s="8">
        <f t="shared" si="17"/>
        <v>8.3710355473234178E-5</v>
      </c>
      <c r="W63" s="3"/>
      <c r="X63" s="7">
        <f t="shared" si="18"/>
        <v>-27.870000000000005</v>
      </c>
      <c r="Y63" s="3"/>
      <c r="Z63" s="8">
        <f t="shared" si="19"/>
        <v>-0.18580000000000002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285</v>
      </c>
      <c r="E64" s="2"/>
      <c r="F64" s="6">
        <f t="shared" si="12"/>
        <v>8.9049802054788228E-4</v>
      </c>
      <c r="G64" s="2"/>
      <c r="H64" s="2">
        <f>SUM(OSRRefH22_6x_0)</f>
        <v>30</v>
      </c>
      <c r="I64" s="2"/>
      <c r="J64" s="6">
        <f t="shared" si="13"/>
        <v>1.4546865150560055E-4</v>
      </c>
      <c r="K64" s="2"/>
      <c r="L64" s="2">
        <f t="shared" si="14"/>
        <v>255</v>
      </c>
      <c r="M64" s="2"/>
      <c r="N64" s="6">
        <f t="shared" si="15"/>
        <v>8.5</v>
      </c>
      <c r="O64" s="14"/>
      <c r="P64" s="2">
        <f>SUM(OSRRefP22_6x_0)</f>
        <v>285</v>
      </c>
      <c r="Q64" s="2"/>
      <c r="R64" s="6">
        <f t="shared" si="16"/>
        <v>1.3764674906294441E-4</v>
      </c>
      <c r="S64" s="2"/>
      <c r="T64" s="2">
        <f>SUM(OSRRefT22_6x_0)</f>
        <v>300</v>
      </c>
      <c r="U64" s="2"/>
      <c r="V64" s="6">
        <f t="shared" si="17"/>
        <v>1.6742071094646836E-4</v>
      </c>
      <c r="W64" s="2"/>
      <c r="X64" s="2">
        <f t="shared" si="18"/>
        <v>-15</v>
      </c>
      <c r="Y64" s="2"/>
      <c r="Z64" s="6">
        <f t="shared" si="19"/>
        <v>-0.05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>
        <v>285</v>
      </c>
      <c r="E65" s="3"/>
      <c r="F65" s="8">
        <f t="shared" si="12"/>
        <v>8.9049802054788228E-4</v>
      </c>
      <c r="G65" s="3"/>
      <c r="H65" s="7">
        <v>30</v>
      </c>
      <c r="I65" s="3"/>
      <c r="J65" s="8">
        <f t="shared" si="13"/>
        <v>1.4546865150560055E-4</v>
      </c>
      <c r="K65" s="3"/>
      <c r="L65" s="7">
        <f t="shared" si="14"/>
        <v>255</v>
      </c>
      <c r="M65" s="3"/>
      <c r="N65" s="8">
        <f t="shared" si="15"/>
        <v>8.5</v>
      </c>
      <c r="O65" s="12"/>
      <c r="P65" s="7">
        <v>285</v>
      </c>
      <c r="Q65" s="3"/>
      <c r="R65" s="8">
        <f t="shared" si="16"/>
        <v>1.3764674906294441E-4</v>
      </c>
      <c r="S65" s="3"/>
      <c r="T65" s="7">
        <v>300</v>
      </c>
      <c r="U65" s="3"/>
      <c r="V65" s="8">
        <f t="shared" si="17"/>
        <v>1.6742071094646836E-4</v>
      </c>
      <c r="W65" s="3"/>
      <c r="X65" s="7">
        <f t="shared" si="18"/>
        <v>-15</v>
      </c>
      <c r="Y65" s="3"/>
      <c r="Z65" s="8">
        <f t="shared" si="19"/>
        <v>-0.05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1100</v>
      </c>
      <c r="E66" s="2"/>
      <c r="F66" s="6">
        <f t="shared" si="12"/>
        <v>3.4370099038690195E-3</v>
      </c>
      <c r="G66" s="2"/>
      <c r="H66" s="2">
        <f>SUM(OSRRefH22_7x_0)</f>
        <v>1100</v>
      </c>
      <c r="I66" s="2"/>
      <c r="J66" s="6">
        <f t="shared" si="13"/>
        <v>5.3338505552053533E-3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8640</v>
      </c>
      <c r="Q66" s="2"/>
      <c r="R66" s="6">
        <f t="shared" si="16"/>
        <v>4.1728698663292619E-3</v>
      </c>
      <c r="S66" s="2"/>
      <c r="T66" s="2">
        <f>SUM(OSRRefT22_7x_0)</f>
        <v>9350</v>
      </c>
      <c r="U66" s="2"/>
      <c r="V66" s="6">
        <f t="shared" si="17"/>
        <v>5.2179454911649298E-3</v>
      </c>
      <c r="W66" s="2"/>
      <c r="X66" s="2">
        <f t="shared" si="18"/>
        <v>-710</v>
      </c>
      <c r="Y66" s="2"/>
      <c r="Z66" s="6">
        <f t="shared" si="19"/>
        <v>-7.5935828877005354E-2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7">
        <v>1100</v>
      </c>
      <c r="E67" s="3"/>
      <c r="F67" s="8">
        <f t="shared" si="12"/>
        <v>3.4370099038690195E-3</v>
      </c>
      <c r="G67" s="3"/>
      <c r="H67" s="7">
        <v>1100</v>
      </c>
      <c r="I67" s="3"/>
      <c r="J67" s="8">
        <f t="shared" si="13"/>
        <v>5.3338505552053533E-3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>
        <v>8640</v>
      </c>
      <c r="Q67" s="3"/>
      <c r="R67" s="8">
        <f t="shared" si="16"/>
        <v>4.1728698663292619E-3</v>
      </c>
      <c r="S67" s="3"/>
      <c r="T67" s="7">
        <v>9350</v>
      </c>
      <c r="U67" s="3"/>
      <c r="V67" s="8">
        <f t="shared" si="17"/>
        <v>5.2179454911649298E-3</v>
      </c>
      <c r="W67" s="3"/>
      <c r="X67" s="7">
        <f t="shared" si="18"/>
        <v>-710</v>
      </c>
      <c r="Y67" s="3"/>
      <c r="Z67" s="8">
        <f t="shared" si="19"/>
        <v>-7.5935828877005354E-2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0</v>
      </c>
      <c r="E68" s="2"/>
      <c r="F68" s="6">
        <f t="shared" si="12"/>
        <v>0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SUM(OSRRefP22_8x_0)</f>
        <v>1550</v>
      </c>
      <c r="Q68" s="2"/>
      <c r="R68" s="6">
        <f t="shared" si="16"/>
        <v>7.4860512648268008E-4</v>
      </c>
      <c r="S68" s="2"/>
      <c r="T68" s="2">
        <f>SUM(OSRRefT22_8x_0)</f>
        <v>0</v>
      </c>
      <c r="U68" s="2"/>
      <c r="V68" s="6">
        <f t="shared" si="17"/>
        <v>0</v>
      </c>
      <c r="W68" s="2"/>
      <c r="X68" s="2">
        <f t="shared" si="18"/>
        <v>1550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7"/>
      <c r="E69" s="3"/>
      <c r="F69" s="8">
        <f t="shared" si="12"/>
        <v>0</v>
      </c>
      <c r="G69" s="3"/>
      <c r="H69" s="7"/>
      <c r="I69" s="3"/>
      <c r="J69" s="8">
        <f t="shared" si="13"/>
        <v>0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>
        <v>1550</v>
      </c>
      <c r="Q69" s="3"/>
      <c r="R69" s="8">
        <f t="shared" si="16"/>
        <v>7.4860512648268008E-4</v>
      </c>
      <c r="S69" s="3"/>
      <c r="T69" s="7"/>
      <c r="U69" s="3"/>
      <c r="V69" s="8">
        <f t="shared" si="17"/>
        <v>0</v>
      </c>
      <c r="W69" s="3"/>
      <c r="X69" s="7">
        <f t="shared" si="18"/>
        <v>1550</v>
      </c>
      <c r="Y69" s="3"/>
      <c r="Z69" s="8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SUM(OSRRefD22_9x_0)</f>
        <v>1549.15</v>
      </c>
      <c r="E70" s="2"/>
      <c r="F70" s="6">
        <f t="shared" si="12"/>
        <v>4.8404035387079013E-3</v>
      </c>
      <c r="G70" s="2"/>
      <c r="H70" s="2">
        <f>SUM(OSRRefH22_9x_0)</f>
        <v>310</v>
      </c>
      <c r="I70" s="2"/>
      <c r="J70" s="6">
        <f t="shared" si="13"/>
        <v>1.5031760655578722E-3</v>
      </c>
      <c r="K70" s="2"/>
      <c r="L70" s="2">
        <f t="shared" si="14"/>
        <v>1239.1500000000001</v>
      </c>
      <c r="M70" s="2"/>
      <c r="N70" s="6">
        <f t="shared" si="15"/>
        <v>3.9972580645161293</v>
      </c>
      <c r="O70" s="14"/>
      <c r="P70" s="2">
        <f>SUM(OSRRefP22_9x_0)</f>
        <v>4930.8999999999996</v>
      </c>
      <c r="Q70" s="2"/>
      <c r="R70" s="6">
        <f t="shared" si="16"/>
        <v>2.3814819472086756E-3</v>
      </c>
      <c r="S70" s="2"/>
      <c r="T70" s="2">
        <f>SUM(OSRRefT22_9x_0)</f>
        <v>3100</v>
      </c>
      <c r="U70" s="2"/>
      <c r="V70" s="6">
        <f t="shared" si="17"/>
        <v>1.7300140131135061E-3</v>
      </c>
      <c r="W70" s="2"/>
      <c r="X70" s="2">
        <f t="shared" si="18"/>
        <v>1830.8999999999996</v>
      </c>
      <c r="Y70" s="2"/>
      <c r="Z70" s="6">
        <f t="shared" si="19"/>
        <v>0.59061290322580628</v>
      </c>
    </row>
    <row r="71" spans="1:26" s="70" customFormat="1" ht="15" hidden="1" customHeight="1" outlineLevel="2" x14ac:dyDescent="0.3">
      <c r="A71" s="26"/>
      <c r="B71" s="12" t="str">
        <f>CONCATENATE("          ","6241"," - ","OFFICE EXPENSE")</f>
        <v xml:space="preserve">          6241 - OFFICE EXPENSE</v>
      </c>
      <c r="C71" s="12"/>
      <c r="D71" s="7">
        <v>1549.15</v>
      </c>
      <c r="E71" s="3"/>
      <c r="F71" s="8">
        <f t="shared" si="12"/>
        <v>4.8404035387079013E-3</v>
      </c>
      <c r="G71" s="3"/>
      <c r="H71" s="7">
        <v>110</v>
      </c>
      <c r="I71" s="3"/>
      <c r="J71" s="8">
        <f t="shared" si="13"/>
        <v>5.3338505552053537E-4</v>
      </c>
      <c r="K71" s="3"/>
      <c r="L71" s="7">
        <f t="shared" si="14"/>
        <v>1439.15</v>
      </c>
      <c r="M71" s="3"/>
      <c r="N71" s="8">
        <f t="shared" si="15"/>
        <v>13.083181818181819</v>
      </c>
      <c r="O71" s="12"/>
      <c r="P71" s="7">
        <v>2018.9</v>
      </c>
      <c r="Q71" s="3"/>
      <c r="R71" s="8">
        <f t="shared" si="16"/>
        <v>9.7507025151992444E-4</v>
      </c>
      <c r="S71" s="3"/>
      <c r="T71" s="7">
        <v>1100</v>
      </c>
      <c r="U71" s="3"/>
      <c r="V71" s="8">
        <f t="shared" si="17"/>
        <v>6.1387594013705062E-4</v>
      </c>
      <c r="W71" s="3"/>
      <c r="X71" s="7">
        <f t="shared" si="18"/>
        <v>918.90000000000009</v>
      </c>
      <c r="Y71" s="3"/>
      <c r="Z71" s="8">
        <f t="shared" si="19"/>
        <v>0.83536363636363642</v>
      </c>
    </row>
    <row r="72" spans="1:26" s="70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7"/>
      <c r="E72" s="3"/>
      <c r="F72" s="8">
        <f t="shared" si="12"/>
        <v>0</v>
      </c>
      <c r="G72" s="3"/>
      <c r="H72" s="7">
        <v>200</v>
      </c>
      <c r="I72" s="3"/>
      <c r="J72" s="8">
        <f t="shared" si="13"/>
        <v>9.6979101003733697E-4</v>
      </c>
      <c r="K72" s="3"/>
      <c r="L72" s="7">
        <f t="shared" si="14"/>
        <v>-200</v>
      </c>
      <c r="M72" s="3"/>
      <c r="N72" s="8">
        <f t="shared" si="15"/>
        <v>-1</v>
      </c>
      <c r="O72" s="12"/>
      <c r="P72" s="7">
        <v>2912</v>
      </c>
      <c r="Q72" s="3"/>
      <c r="R72" s="8">
        <f t="shared" si="16"/>
        <v>1.4064116956887512E-3</v>
      </c>
      <c r="S72" s="3"/>
      <c r="T72" s="7">
        <v>2000</v>
      </c>
      <c r="U72" s="3"/>
      <c r="V72" s="8">
        <f t="shared" si="17"/>
        <v>1.1161380729764556E-3</v>
      </c>
      <c r="W72" s="3"/>
      <c r="X72" s="7">
        <f t="shared" si="18"/>
        <v>912</v>
      </c>
      <c r="Y72" s="3"/>
      <c r="Z72" s="8">
        <f t="shared" si="19"/>
        <v>0.45600000000000002</v>
      </c>
    </row>
    <row r="73" spans="1:26" s="69" customFormat="1" ht="15" customHeight="1" outlineLevel="1" collapsed="1" x14ac:dyDescent="0.3">
      <c r="A73" s="25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SUM(OSRRefD22_10x_0)</f>
        <v>110.47</v>
      </c>
      <c r="E73" s="2"/>
      <c r="F73" s="6">
        <f t="shared" si="12"/>
        <v>3.4516953098219142E-4</v>
      </c>
      <c r="G73" s="2"/>
      <c r="H73" s="2">
        <f>SUM(OSRRefH22_10x_0)</f>
        <v>325</v>
      </c>
      <c r="I73" s="2"/>
      <c r="J73" s="6">
        <f t="shared" si="13"/>
        <v>1.5759103913106725E-3</v>
      </c>
      <c r="K73" s="2"/>
      <c r="L73" s="2">
        <f t="shared" si="14"/>
        <v>-214.53</v>
      </c>
      <c r="M73" s="2"/>
      <c r="N73" s="6">
        <f t="shared" si="15"/>
        <v>-0.66009230769230764</v>
      </c>
      <c r="O73" s="14"/>
      <c r="P73" s="2">
        <f>SUM(OSRRefP22_10x_0)</f>
        <v>1915.21</v>
      </c>
      <c r="Q73" s="2"/>
      <c r="R73" s="6">
        <f t="shared" si="16"/>
        <v>9.2499098341347987E-4</v>
      </c>
      <c r="S73" s="2"/>
      <c r="T73" s="2">
        <f>SUM(OSRRefT22_10x_0)</f>
        <v>3250</v>
      </c>
      <c r="U73" s="2"/>
      <c r="V73" s="6">
        <f t="shared" si="17"/>
        <v>1.8137243685867404E-3</v>
      </c>
      <c r="W73" s="2"/>
      <c r="X73" s="2">
        <f t="shared" si="18"/>
        <v>-1334.79</v>
      </c>
      <c r="Y73" s="2"/>
      <c r="Z73" s="6">
        <f t="shared" si="19"/>
        <v>-0.41070461538461539</v>
      </c>
    </row>
    <row r="74" spans="1:26" s="70" customFormat="1" ht="15" hidden="1" customHeight="1" outlineLevel="2" x14ac:dyDescent="0.3">
      <c r="A74" s="26"/>
      <c r="B74" s="12" t="str">
        <f>CONCATENATE("          ","6309"," - ","TELEPHONE")</f>
        <v xml:space="preserve">          6309 - TELEPHONE</v>
      </c>
      <c r="C74" s="12"/>
      <c r="D74" s="7">
        <v>110.47</v>
      </c>
      <c r="E74" s="3"/>
      <c r="F74" s="8">
        <f t="shared" si="12"/>
        <v>3.4516953098219142E-4</v>
      </c>
      <c r="G74" s="3"/>
      <c r="H74" s="7">
        <v>325</v>
      </c>
      <c r="I74" s="3"/>
      <c r="J74" s="8">
        <f t="shared" si="13"/>
        <v>1.5759103913106725E-3</v>
      </c>
      <c r="K74" s="3"/>
      <c r="L74" s="7">
        <f t="shared" si="14"/>
        <v>-214.53</v>
      </c>
      <c r="M74" s="3"/>
      <c r="N74" s="8">
        <f t="shared" si="15"/>
        <v>-0.66009230769230764</v>
      </c>
      <c r="O74" s="12"/>
      <c r="P74" s="7">
        <v>1915.21</v>
      </c>
      <c r="Q74" s="3"/>
      <c r="R74" s="8">
        <f t="shared" si="16"/>
        <v>9.2499098341347987E-4</v>
      </c>
      <c r="S74" s="3"/>
      <c r="T74" s="7">
        <v>3250</v>
      </c>
      <c r="U74" s="3"/>
      <c r="V74" s="8">
        <f t="shared" si="17"/>
        <v>1.8137243685867404E-3</v>
      </c>
      <c r="W74" s="3"/>
      <c r="X74" s="7">
        <f t="shared" si="18"/>
        <v>-1334.79</v>
      </c>
      <c r="Y74" s="3"/>
      <c r="Z74" s="8">
        <f t="shared" si="19"/>
        <v>-0.41070461538461539</v>
      </c>
    </row>
    <row r="75" spans="1:26" s="65" customFormat="1" ht="15" customHeight="1" x14ac:dyDescent="0.3">
      <c r="A75" s="35"/>
      <c r="B75" s="35"/>
      <c r="C75" s="35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5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3" customFormat="1" ht="15" customHeight="1" collapsed="1" x14ac:dyDescent="0.3">
      <c r="A76" s="11"/>
      <c r="B76" s="28" t="s">
        <v>291</v>
      </c>
      <c r="C76" s="11"/>
      <c r="D76" s="5">
        <f>SUM(OSRRefD25x_0)</f>
        <v>1497.14</v>
      </c>
      <c r="E76" s="5"/>
      <c r="F76" s="13">
        <f>IF(D$12=0,0,D76/D$12)</f>
        <v>4.6778954613440581E-3</v>
      </c>
      <c r="G76" s="5"/>
      <c r="H76" s="5">
        <f>SUM(OSRRefH25x_0)</f>
        <v>2157</v>
      </c>
      <c r="I76" s="5"/>
      <c r="J76" s="13">
        <f>IF(H$12=0,0,H76/H$12)</f>
        <v>1.045919604325268E-2</v>
      </c>
      <c r="K76" s="5"/>
      <c r="L76" s="5">
        <f>+D76-H76</f>
        <v>-659.8599999999999</v>
      </c>
      <c r="M76" s="5"/>
      <c r="N76" s="13">
        <f>IF(H76=0,0,L76/H76)</f>
        <v>-0.30591562355122853</v>
      </c>
      <c r="O76" s="11"/>
      <c r="P76" s="5">
        <f>SUM(OSRRefP25x_0)</f>
        <v>4838.08</v>
      </c>
      <c r="Q76" s="5"/>
      <c r="R76" s="13">
        <f>IF(P$12=0,0,P76/P$12)</f>
        <v>2.3366525744085965E-3</v>
      </c>
      <c r="S76" s="5"/>
      <c r="T76" s="5">
        <f>SUM(OSRRefT25x_0)</f>
        <v>16747</v>
      </c>
      <c r="U76" s="5"/>
      <c r="V76" s="13">
        <f>IF(T$12=0,0,T76/T$12)</f>
        <v>9.345982154068351E-3</v>
      </c>
      <c r="W76" s="5"/>
      <c r="X76" s="5">
        <f>+P76-T76</f>
        <v>-11908.92</v>
      </c>
      <c r="Y76" s="5"/>
      <c r="Z76" s="13">
        <f>IF(T76=0,0,X76/T76)</f>
        <v>-0.71110766107362511</v>
      </c>
    </row>
    <row r="77" spans="1:26" s="70" customFormat="1" ht="15" hidden="1" customHeight="1" outlineLevel="1" x14ac:dyDescent="0.3">
      <c r="A77" s="42"/>
      <c r="B77" s="12" t="str">
        <f>CONCATENATE("          ","4187"," - ","NON-TAXABLE SALES-COMPUTER REP")</f>
        <v xml:space="preserve">          4187 - NON-TAXABLE SALES-COMPUTER REP</v>
      </c>
      <c r="C77" s="12"/>
      <c r="D77" s="3">
        <f>0</f>
        <v>0</v>
      </c>
      <c r="E77" s="3"/>
      <c r="F77" s="20">
        <f>IF(D$12=0,0,D77/D$12)</f>
        <v>0</v>
      </c>
      <c r="G77" s="3"/>
      <c r="H77" s="3"/>
      <c r="I77" s="3"/>
      <c r="J77" s="20">
        <f>IF(H$12=0,0,H77/H$12)</f>
        <v>0</v>
      </c>
      <c r="K77" s="3"/>
      <c r="L77" s="3">
        <f>+D77-H77</f>
        <v>0</v>
      </c>
      <c r="M77" s="3"/>
      <c r="N77" s="20">
        <f>IF(H77=0,0,L77/H77)</f>
        <v>0</v>
      </c>
      <c r="O77" s="12"/>
      <c r="P77" s="3">
        <f>0</f>
        <v>0</v>
      </c>
      <c r="Q77" s="3"/>
      <c r="R77" s="20">
        <f>IF(P$12=0,0,P77/P$12)</f>
        <v>0</v>
      </c>
      <c r="S77" s="3"/>
      <c r="T77" s="3"/>
      <c r="U77" s="3"/>
      <c r="V77" s="20">
        <f>IF(T$12=0,0,T77/T$12)</f>
        <v>0</v>
      </c>
      <c r="W77" s="3"/>
      <c r="X77" s="3">
        <f>+P77-T77</f>
        <v>0</v>
      </c>
      <c r="Y77" s="3"/>
      <c r="Z77" s="20">
        <f>IF(T77=0,0,X77/T77)</f>
        <v>0</v>
      </c>
    </row>
    <row r="78" spans="1:26" s="70" customFormat="1" ht="15" hidden="1" customHeight="1" outlineLevel="1" x14ac:dyDescent="0.3">
      <c r="A78" s="42"/>
      <c r="B78" s="12" t="str">
        <f>CONCATENATE("          ","9087"," - ","")</f>
        <v xml:space="preserve">          9087 - </v>
      </c>
      <c r="C78" s="12"/>
      <c r="D78" s="3">
        <f>--1264.22</f>
        <v>1264.22</v>
      </c>
      <c r="E78" s="3"/>
      <c r="F78" s="20">
        <f>IF(D$12=0,0,D78/D$12)</f>
        <v>3.9501242369720836E-3</v>
      </c>
      <c r="G78" s="3"/>
      <c r="H78" s="3"/>
      <c r="I78" s="3"/>
      <c r="J78" s="20">
        <f>IF(H$12=0,0,H78/H$12)</f>
        <v>0</v>
      </c>
      <c r="K78" s="3"/>
      <c r="L78" s="3">
        <f>+D78-H78</f>
        <v>1264.22</v>
      </c>
      <c r="M78" s="3"/>
      <c r="N78" s="20">
        <f>IF(H78=0,0,L78/H78)</f>
        <v>0</v>
      </c>
      <c r="O78" s="12"/>
      <c r="P78" s="3">
        <f>--1996</f>
        <v>1996</v>
      </c>
      <c r="Q78" s="3"/>
      <c r="R78" s="20">
        <f>IF(P$12=0,0,P78/P$12)</f>
        <v>9.6401021448995451E-4</v>
      </c>
      <c r="S78" s="3"/>
      <c r="T78" s="3"/>
      <c r="U78" s="3"/>
      <c r="V78" s="20">
        <f>IF(T$12=0,0,T78/T$12)</f>
        <v>0</v>
      </c>
      <c r="W78" s="3"/>
      <c r="X78" s="3">
        <f>+P78-T78</f>
        <v>1996</v>
      </c>
      <c r="Y78" s="3"/>
      <c r="Z78" s="20">
        <f>IF(T78=0,0,X78/T78)</f>
        <v>0</v>
      </c>
    </row>
    <row r="79" spans="1:26" s="70" customFormat="1" ht="15" hidden="1" customHeight="1" outlineLevel="1" x14ac:dyDescent="0.3">
      <c r="A79" s="42"/>
      <c r="B79" s="12" t="str">
        <f>CONCATENATE("          ","9150"," - ","MISC. INCOME")</f>
        <v xml:space="preserve">          9150 - MISC. INCOME</v>
      </c>
      <c r="C79" s="12"/>
      <c r="D79" s="3">
        <f>--232.92</f>
        <v>232.92</v>
      </c>
      <c r="E79" s="3"/>
      <c r="F79" s="20">
        <f>IF(D$12=0,0,D79/D$12)</f>
        <v>7.2777122437197455E-4</v>
      </c>
      <c r="G79" s="3"/>
      <c r="H79" s="3">
        <v>2157</v>
      </c>
      <c r="I79" s="3"/>
      <c r="J79" s="20">
        <f>IF(H$12=0,0,H79/H$12)</f>
        <v>1.045919604325268E-2</v>
      </c>
      <c r="K79" s="3"/>
      <c r="L79" s="3">
        <f>+D79-H79</f>
        <v>-1924.08</v>
      </c>
      <c r="M79" s="3"/>
      <c r="N79" s="20">
        <f>IF(H79=0,0,L79/H79)</f>
        <v>-0.89201668984700966</v>
      </c>
      <c r="O79" s="12"/>
      <c r="P79" s="3">
        <f>--2842.08</f>
        <v>2842.08</v>
      </c>
      <c r="Q79" s="3"/>
      <c r="R79" s="20">
        <f>IF(P$12=0,0,P79/P$12)</f>
        <v>1.3726423599186421E-3</v>
      </c>
      <c r="S79" s="3"/>
      <c r="T79" s="3">
        <v>16747</v>
      </c>
      <c r="U79" s="3"/>
      <c r="V79" s="20">
        <f>IF(T$12=0,0,T79/T$12)</f>
        <v>9.345982154068351E-3</v>
      </c>
      <c r="W79" s="3"/>
      <c r="X79" s="3">
        <f>+P79-T79</f>
        <v>-13904.92</v>
      </c>
      <c r="Y79" s="3"/>
      <c r="Z79" s="20">
        <f>IF(T79=0,0,X79/T79)</f>
        <v>-0.83029318683943398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292</v>
      </c>
      <c r="C81" s="27"/>
      <c r="D81" s="21">
        <f>+D31-D33+D76</f>
        <v>8947.9600000000391</v>
      </c>
      <c r="E81" s="15"/>
      <c r="F81" s="23">
        <f>IF(D$12=0,0,D81/D$12)</f>
        <v>2.7958388308567242E-2</v>
      </c>
      <c r="G81" s="15"/>
      <c r="H81" s="21">
        <f>+H31-H33+H76</f>
        <v>6129.1654209125008</v>
      </c>
      <c r="I81" s="15"/>
      <c r="J81" s="23">
        <f>IF(H$12=0,0,H81/H$12)</f>
        <v>2.972004762116327E-2</v>
      </c>
      <c r="K81" s="17"/>
      <c r="L81" s="21">
        <f>+D81-H81</f>
        <v>2818.7945790875383</v>
      </c>
      <c r="M81" s="17"/>
      <c r="N81" s="23">
        <f>IF(H81=0,0,L81/H81)</f>
        <v>0.45989859720051096</v>
      </c>
      <c r="O81" s="28"/>
      <c r="P81" s="21">
        <f>+P31-P33+P76</f>
        <v>153333.49999999997</v>
      </c>
      <c r="Q81" s="15"/>
      <c r="R81" s="23">
        <f>IF(P$12=0,0,P81/P$12)</f>
        <v>7.405564139453677E-2</v>
      </c>
      <c r="S81" s="15"/>
      <c r="T81" s="21">
        <f>+T31-T33+T76</f>
        <v>45144.283786429995</v>
      </c>
      <c r="U81" s="15"/>
      <c r="V81" s="23">
        <f>IF(T$12=0,0,T81/T$12)</f>
        <v>2.5193626955644113E-2</v>
      </c>
      <c r="W81" s="17"/>
      <c r="X81" s="21">
        <f>+P81-T81</f>
        <v>108189.21621356998</v>
      </c>
      <c r="Y81" s="17"/>
      <c r="Z81" s="23">
        <f>IF(T81=0,0,X81/T81)</f>
        <v>2.396520824771414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49"/>
      <c r="B83" s="11" t="s">
        <v>293</v>
      </c>
      <c r="C83" s="11"/>
      <c r="D83" s="5">
        <v>25641.73</v>
      </c>
      <c r="E83" s="5"/>
      <c r="F83" s="13">
        <f>IF(D$12=0,0,D83/D$12)</f>
        <v>8.0118981783941223E-2</v>
      </c>
      <c r="G83" s="5"/>
      <c r="H83" s="5">
        <v>27324</v>
      </c>
      <c r="I83" s="5"/>
      <c r="J83" s="13">
        <f>IF(H$12=0,0,H83/H$12)</f>
        <v>0.13249284779130097</v>
      </c>
      <c r="K83" s="5"/>
      <c r="L83" s="5">
        <f>+D83-H83</f>
        <v>-1682.2700000000004</v>
      </c>
      <c r="M83" s="5"/>
      <c r="N83" s="13">
        <f>IF(H83=0,0,L83/H83)</f>
        <v>-6.1567486458790822E-2</v>
      </c>
      <c r="O83" s="11"/>
      <c r="P83" s="5">
        <v>234556.25</v>
      </c>
      <c r="Q83" s="5"/>
      <c r="R83" s="13">
        <f>IF(P$12=0,0,P83/P$12)</f>
        <v>0.11328387819261493</v>
      </c>
      <c r="S83" s="5"/>
      <c r="T83" s="5">
        <v>220430</v>
      </c>
      <c r="U83" s="5"/>
      <c r="V83" s="13">
        <f>IF(T$12=0,0,T83/T$12)</f>
        <v>0.12301515771310005</v>
      </c>
      <c r="W83" s="5"/>
      <c r="X83" s="5">
        <f>+P83-T83</f>
        <v>14126.25</v>
      </c>
      <c r="Y83" s="5"/>
      <c r="Z83" s="13">
        <f>IF(T83=0,0,X83/T83)</f>
        <v>6.4084970285351359E-2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7" t="s">
        <v>294</v>
      </c>
      <c r="C85" s="27"/>
      <c r="D85" s="29">
        <f>+D81-D83</f>
        <v>-16693.76999999996</v>
      </c>
      <c r="E85" s="15"/>
      <c r="F85" s="30">
        <f>IF(D$12=0,0,D85/D$12)</f>
        <v>-5.2160593475373988E-2</v>
      </c>
      <c r="G85" s="15"/>
      <c r="H85" s="29">
        <f>+H81-H83</f>
        <v>-21194.834579087499</v>
      </c>
      <c r="I85" s="15"/>
      <c r="J85" s="30">
        <f>IF(H$12=0,0,H85/H$12)</f>
        <v>-0.10277280017013771</v>
      </c>
      <c r="K85" s="17"/>
      <c r="L85" s="29">
        <f>D85-H85</f>
        <v>4501.0645790875387</v>
      </c>
      <c r="M85" s="17"/>
      <c r="N85" s="30">
        <f>IF(H85=0,0,L85/H85)</f>
        <v>-0.21236611035070993</v>
      </c>
      <c r="O85" s="28"/>
      <c r="P85" s="29">
        <f>+P81-P83</f>
        <v>-81222.750000000029</v>
      </c>
      <c r="Q85" s="15"/>
      <c r="R85" s="30">
        <f>IF(P$12=0,0,P85/P$12)</f>
        <v>-3.9228236798078145E-2</v>
      </c>
      <c r="S85" s="15"/>
      <c r="T85" s="29">
        <f>+T81-T83</f>
        <v>-175285.71621357001</v>
      </c>
      <c r="U85" s="15"/>
      <c r="V85" s="30">
        <f>IF(T$12=0,0,T85/T$12)</f>
        <v>-9.7821530757455949E-2</v>
      </c>
      <c r="W85" s="17"/>
      <c r="X85" s="29">
        <f>P85-T85</f>
        <v>94062.966213569976</v>
      </c>
      <c r="Y85" s="17"/>
      <c r="Z85" s="30">
        <f>IF(T85=0,0,X85/T85)</f>
        <v>-0.53662653321370835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11"/>
      <c r="B88" s="27" t="s">
        <v>297</v>
      </c>
      <c r="C88" s="27"/>
      <c r="D88" s="32">
        <f>SUM(D85:D87)</f>
        <v>-16693.76999999996</v>
      </c>
      <c r="E88" s="15"/>
      <c r="F88" s="34">
        <f>IF(D$12=0,0,D88/D$12)</f>
        <v>-5.2160593475373988E-2</v>
      </c>
      <c r="G88" s="15"/>
      <c r="H88" s="32">
        <f>SUM(H85:H87)</f>
        <v>-21194.834579087499</v>
      </c>
      <c r="I88" s="15"/>
      <c r="J88" s="34">
        <f>IF(H$12=0,0,H88/H$12)</f>
        <v>-0.10277280017013771</v>
      </c>
      <c r="K88" s="17"/>
      <c r="L88" s="32">
        <f>+D88-H88</f>
        <v>4501.0645790875387</v>
      </c>
      <c r="M88" s="17"/>
      <c r="N88" s="34">
        <f>IF(H88=0,0,L88/H88)</f>
        <v>-0.21236611035070993</v>
      </c>
      <c r="O88" s="28"/>
      <c r="P88" s="32">
        <f>SUM(P85:P87)</f>
        <v>-81222.750000000029</v>
      </c>
      <c r="Q88" s="15"/>
      <c r="R88" s="34">
        <f>IF(P$12=0,0,P88/P$12)</f>
        <v>-3.9228236798078145E-2</v>
      </c>
      <c r="S88" s="15"/>
      <c r="T88" s="32">
        <f>SUM(T85:T87)</f>
        <v>-175285.71621357001</v>
      </c>
      <c r="U88" s="15"/>
      <c r="V88" s="34">
        <f>IF(T$12=0,0,T88/T$12)</f>
        <v>-9.7821530757455949E-2</v>
      </c>
      <c r="W88" s="17"/>
      <c r="X88" s="32">
        <f>+P88-T88</f>
        <v>94062.966213569976</v>
      </c>
      <c r="Y88" s="17"/>
      <c r="Z88" s="34">
        <f>IF(T88=0,0,X88/T88)</f>
        <v>-0.53662653321370835</v>
      </c>
    </row>
    <row r="89" spans="1:26" ht="15" customHeight="1" x14ac:dyDescent="0.3">
      <c r="A89" s="10"/>
      <c r="C89" s="10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6">
        <v>44694.888552430559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0" t="s">
        <v>298</v>
      </c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A92" s="10"/>
      <c r="B92" s="51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8227-11C5-461C-F637-EAC2607CA57C}">
  <sheetPr>
    <tabColor rgb="FFFFFF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304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103504.90999999999</v>
      </c>
      <c r="E12" s="5"/>
      <c r="F12" s="13"/>
      <c r="G12" s="5"/>
      <c r="H12" s="5">
        <f>SUM(OSRRefH13x_0)</f>
        <v>84079</v>
      </c>
      <c r="I12" s="5"/>
      <c r="J12" s="13"/>
      <c r="K12" s="5"/>
      <c r="L12" s="5">
        <f t="shared" ref="L12:L18" si="0">+D12-H12</f>
        <v>19425.909999999989</v>
      </c>
      <c r="M12" s="5"/>
      <c r="N12" s="13">
        <f t="shared" ref="N12:N18" si="1">IF(H12=0,0,L12/H12)</f>
        <v>0.23104354238275895</v>
      </c>
      <c r="O12" s="11"/>
      <c r="P12" s="5">
        <f>SUM(OSRRefP13x_0)</f>
        <v>411544.64</v>
      </c>
      <c r="Q12" s="5"/>
      <c r="R12" s="13"/>
      <c r="S12" s="5"/>
      <c r="T12" s="5">
        <f>SUM(OSRRefT13x_0)</f>
        <v>462114</v>
      </c>
      <c r="U12" s="5"/>
      <c r="V12" s="13"/>
      <c r="W12" s="5"/>
      <c r="X12" s="5">
        <f t="shared" ref="X12:X18" si="2">+P12-T12</f>
        <v>-50569.359999999986</v>
      </c>
      <c r="Y12" s="5"/>
      <c r="Z12" s="13">
        <f t="shared" ref="Z12:Z18" si="3">IF(T12=0,0,X12/T12)</f>
        <v>-0.10943048684956523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--14181.08</f>
        <v>14181.08</v>
      </c>
      <c r="E13" s="3"/>
      <c r="F13" s="20"/>
      <c r="G13" s="3"/>
      <c r="H13" s="3">
        <v>16369</v>
      </c>
      <c r="I13" s="3"/>
      <c r="J13" s="20"/>
      <c r="K13" s="3"/>
      <c r="L13" s="3">
        <f t="shared" si="0"/>
        <v>-2187.92</v>
      </c>
      <c r="M13" s="3"/>
      <c r="N13" s="20">
        <f t="shared" si="1"/>
        <v>-0.13366241065428555</v>
      </c>
      <c r="O13" s="12"/>
      <c r="P13" s="3">
        <f>--62411.75</f>
        <v>62411.75</v>
      </c>
      <c r="Q13" s="3"/>
      <c r="R13" s="20"/>
      <c r="S13" s="3"/>
      <c r="T13" s="3">
        <v>90214</v>
      </c>
      <c r="U13" s="3"/>
      <c r="V13" s="20"/>
      <c r="W13" s="3"/>
      <c r="X13" s="3">
        <f t="shared" si="2"/>
        <v>-27802.25</v>
      </c>
      <c r="Y13" s="3"/>
      <c r="Z13" s="20">
        <f t="shared" si="3"/>
        <v>-0.30818110271133081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--439.9</f>
        <v>439.9</v>
      </c>
      <c r="E15" s="3"/>
      <c r="F15" s="20"/>
      <c r="G15" s="3"/>
      <c r="H15" s="3"/>
      <c r="I15" s="3"/>
      <c r="J15" s="20"/>
      <c r="K15" s="3"/>
      <c r="L15" s="3">
        <f t="shared" si="0"/>
        <v>439.9</v>
      </c>
      <c r="M15" s="3"/>
      <c r="N15" s="20">
        <f t="shared" si="1"/>
        <v>0</v>
      </c>
      <c r="O15" s="12"/>
      <c r="P15" s="3">
        <f>--1551.31</f>
        <v>1551.31</v>
      </c>
      <c r="Q15" s="3"/>
      <c r="R15" s="20"/>
      <c r="S15" s="3"/>
      <c r="T15" s="3"/>
      <c r="U15" s="3"/>
      <c r="V15" s="20"/>
      <c r="W15" s="3"/>
      <c r="X15" s="3">
        <f t="shared" si="2"/>
        <v>1551.31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--88883.93</f>
        <v>88883.93</v>
      </c>
      <c r="E16" s="3"/>
      <c r="F16" s="20"/>
      <c r="G16" s="3"/>
      <c r="H16" s="3">
        <v>67710</v>
      </c>
      <c r="I16" s="3"/>
      <c r="J16" s="20"/>
      <c r="K16" s="3"/>
      <c r="L16" s="3">
        <f t="shared" si="0"/>
        <v>21173.929999999993</v>
      </c>
      <c r="M16" s="3"/>
      <c r="N16" s="20">
        <f t="shared" si="1"/>
        <v>0.31271496086250172</v>
      </c>
      <c r="O16" s="12"/>
      <c r="P16" s="3">
        <f>--347350.09</f>
        <v>347350.09</v>
      </c>
      <c r="Q16" s="3"/>
      <c r="R16" s="20"/>
      <c r="S16" s="3"/>
      <c r="T16" s="3">
        <v>371900</v>
      </c>
      <c r="U16" s="3"/>
      <c r="V16" s="20"/>
      <c r="W16" s="3"/>
      <c r="X16" s="3">
        <f t="shared" si="2"/>
        <v>-24549.909999999974</v>
      </c>
      <c r="Y16" s="3"/>
      <c r="Z16" s="20">
        <f t="shared" si="3"/>
        <v>-6.6012126915837521E-2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--206.32</f>
        <v>206.32</v>
      </c>
      <c r="Q17" s="3"/>
      <c r="R17" s="20"/>
      <c r="S17" s="3"/>
      <c r="T17" s="3"/>
      <c r="U17" s="3"/>
      <c r="V17" s="20"/>
      <c r="W17" s="3"/>
      <c r="X17" s="3">
        <f t="shared" si="2"/>
        <v>206.32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8" t="s">
        <v>288</v>
      </c>
      <c r="C20" s="11"/>
      <c r="D20" s="5">
        <f>SUM(OSRRefD16x_0)</f>
        <v>47533.82</v>
      </c>
      <c r="E20" s="5"/>
      <c r="F20" s="13">
        <f>IF(D$12=0,0,D20/D$12)</f>
        <v>0.45924217508135606</v>
      </c>
      <c r="G20" s="5"/>
      <c r="H20" s="5">
        <f>SUM(OSRRefH16x_0)</f>
        <v>41200</v>
      </c>
      <c r="I20" s="5"/>
      <c r="J20" s="13">
        <f>IF(H$12=0,0,H20/H$12)</f>
        <v>0.49001534271340047</v>
      </c>
      <c r="K20" s="5"/>
      <c r="L20" s="5">
        <f>+D20-H20</f>
        <v>6333.82</v>
      </c>
      <c r="M20" s="5"/>
      <c r="N20" s="13">
        <f>IF(H20=0,0,L20/H20)</f>
        <v>0.15373349514563106</v>
      </c>
      <c r="O20" s="11"/>
      <c r="P20" s="5">
        <f>SUM(OSRRefP16x_0)</f>
        <v>187924.95</v>
      </c>
      <c r="Q20" s="5"/>
      <c r="R20" s="13">
        <f>IF(P$12=0,0,P20/P$12)</f>
        <v>0.4566332099477714</v>
      </c>
      <c r="S20" s="5"/>
      <c r="T20" s="5">
        <f>SUM(OSRRefT16x_0)</f>
        <v>226609</v>
      </c>
      <c r="U20" s="5"/>
      <c r="V20" s="13">
        <f>IF(T$12=0,0,T20/T$12)</f>
        <v>0.49037466945385771</v>
      </c>
      <c r="W20" s="5"/>
      <c r="X20" s="5">
        <f>+P20-T20</f>
        <v>-38684.049999999988</v>
      </c>
      <c r="Y20" s="5"/>
      <c r="Z20" s="13">
        <f>IF(T20=0,0,X20/T20)</f>
        <v>-0.17070835668486242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>
        <v>-2496</v>
      </c>
      <c r="E21" s="3"/>
      <c r="F21" s="20">
        <f>IF(D$12=0,0,D21/D$12)</f>
        <v>-2.4114798032286586E-2</v>
      </c>
      <c r="G21" s="3"/>
      <c r="H21" s="3">
        <v>41200</v>
      </c>
      <c r="I21" s="3"/>
      <c r="J21" s="20">
        <f>IF(H$12=0,0,H21/H$12)</f>
        <v>0.49001534271340047</v>
      </c>
      <c r="K21" s="3"/>
      <c r="L21" s="3">
        <f>+D21-H21</f>
        <v>-43696</v>
      </c>
      <c r="M21" s="3"/>
      <c r="N21" s="20">
        <f>IF(H21=0,0,L21/H21)</f>
        <v>-1.0605825242718447</v>
      </c>
      <c r="O21" s="12"/>
      <c r="P21" s="3">
        <v>-8062</v>
      </c>
      <c r="Q21" s="3"/>
      <c r="R21" s="20">
        <f>IF(P$12=0,0,P21/P$12)</f>
        <v>-1.9589612441556766E-2</v>
      </c>
      <c r="S21" s="3"/>
      <c r="T21" s="3">
        <v>226609</v>
      </c>
      <c r="U21" s="3"/>
      <c r="V21" s="20">
        <f>IF(T$12=0,0,T21/T$12)</f>
        <v>0.49037466945385771</v>
      </c>
      <c r="W21" s="3"/>
      <c r="X21" s="3">
        <f>+P21-T21</f>
        <v>-234671</v>
      </c>
      <c r="Y21" s="3"/>
      <c r="Z21" s="20">
        <f>IF(T21=0,0,X21/T21)</f>
        <v>-1.0355766981893924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1344.8</v>
      </c>
      <c r="E22" s="3"/>
      <c r="F22" s="20">
        <f>IF(D$12=0,0,D22/D$12)</f>
        <v>1.299262035008774E-2</v>
      </c>
      <c r="G22" s="3"/>
      <c r="H22" s="3"/>
      <c r="I22" s="3"/>
      <c r="J22" s="20">
        <f>IF(H$12=0,0,H22/H$12)</f>
        <v>0</v>
      </c>
      <c r="K22" s="3"/>
      <c r="L22" s="3">
        <f>+D22-H22</f>
        <v>1344.8</v>
      </c>
      <c r="M22" s="3"/>
      <c r="N22" s="20">
        <f>IF(H22=0,0,L22/H22)</f>
        <v>0</v>
      </c>
      <c r="O22" s="12"/>
      <c r="P22" s="3">
        <v>28404.14</v>
      </c>
      <c r="Q22" s="3"/>
      <c r="R22" s="20">
        <f>IF(P$12=0,0,P22/P$12)</f>
        <v>6.9018369428891113E-2</v>
      </c>
      <c r="S22" s="3"/>
      <c r="T22" s="3"/>
      <c r="U22" s="3"/>
      <c r="V22" s="20">
        <f>IF(T$12=0,0,T22/T$12)</f>
        <v>0</v>
      </c>
      <c r="W22" s="3"/>
      <c r="X22" s="3">
        <f>+P22-T22</f>
        <v>28404.14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48685.02</v>
      </c>
      <c r="E23" s="3"/>
      <c r="F23" s="20">
        <f>IF(D$12=0,0,D23/D$12)</f>
        <v>0.47036435276355493</v>
      </c>
      <c r="G23" s="3"/>
      <c r="H23" s="3"/>
      <c r="I23" s="3"/>
      <c r="J23" s="20">
        <f>IF(H$12=0,0,H23/H$12)</f>
        <v>0</v>
      </c>
      <c r="K23" s="3"/>
      <c r="L23" s="3">
        <f>+D23-H23</f>
        <v>48685.02</v>
      </c>
      <c r="M23" s="3"/>
      <c r="N23" s="20">
        <f>IF(H23=0,0,L23/H23)</f>
        <v>0</v>
      </c>
      <c r="O23" s="12"/>
      <c r="P23" s="3">
        <v>167582.81</v>
      </c>
      <c r="Q23" s="3"/>
      <c r="R23" s="20">
        <f>IF(P$12=0,0,P23/P$12)</f>
        <v>0.40720445296043706</v>
      </c>
      <c r="S23" s="3"/>
      <c r="T23" s="3"/>
      <c r="U23" s="3"/>
      <c r="V23" s="20">
        <f>IF(T$12=0,0,T23/T$12)</f>
        <v>0</v>
      </c>
      <c r="W23" s="3"/>
      <c r="X23" s="3">
        <f>+P23-T23</f>
        <v>167582.81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289</v>
      </c>
      <c r="C25" s="27"/>
      <c r="D25" s="21">
        <f>D12-D20</f>
        <v>55971.089999999989</v>
      </c>
      <c r="E25" s="15"/>
      <c r="F25" s="23">
        <f>IF(D$12=0,0,D25/D$12)</f>
        <v>0.54075782491864388</v>
      </c>
      <c r="G25" s="15"/>
      <c r="H25" s="21">
        <f>H12-H20</f>
        <v>42879</v>
      </c>
      <c r="I25" s="15"/>
      <c r="J25" s="23">
        <f>IF(H$12=0,0,H25/H$12)</f>
        <v>0.50998465728659947</v>
      </c>
      <c r="K25" s="17"/>
      <c r="L25" s="21">
        <f>+D25-H25</f>
        <v>13092.089999999989</v>
      </c>
      <c r="M25" s="17"/>
      <c r="N25" s="23">
        <f>IF(H25=0,0,L25/H25)</f>
        <v>0.30532638354439212</v>
      </c>
      <c r="O25" s="28"/>
      <c r="P25" s="21">
        <f>P12-P20</f>
        <v>223619.69</v>
      </c>
      <c r="Q25" s="15"/>
      <c r="R25" s="23">
        <f>IF(P$12=0,0,P25/P$12)</f>
        <v>0.54336679005222854</v>
      </c>
      <c r="S25" s="15"/>
      <c r="T25" s="21">
        <f>T12-T20</f>
        <v>235505</v>
      </c>
      <c r="U25" s="15"/>
      <c r="V25" s="23">
        <f>IF(T$12=0,0,T25/T$12)</f>
        <v>0.50962533054614234</v>
      </c>
      <c r="W25" s="17"/>
      <c r="X25" s="21">
        <f>+P25-T25</f>
        <v>-11885.309999999998</v>
      </c>
      <c r="Y25" s="17"/>
      <c r="Z25" s="23">
        <f>IF(T25=0,0,X25/T25)</f>
        <v>-5.0467336149975575E-2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8" t="s">
        <v>290</v>
      </c>
      <c r="C27" s="11"/>
      <c r="D27" s="22" cm="1">
        <f t="array" ref="D27">SUM(OSRRefD22x_0)</f>
        <v>63234.210000000014</v>
      </c>
      <c r="E27" s="22"/>
      <c r="F27" s="33">
        <f t="shared" ref="F27:F58" si="4">IF(D$12=0,0,D27/D$12)</f>
        <v>0.61092956846201807</v>
      </c>
      <c r="G27" s="22"/>
      <c r="H27" s="22" cm="1">
        <f t="array" ref="H27">SUM(OSRRefH22x_0)</f>
        <v>46343.978603134616</v>
      </c>
      <c r="I27" s="22"/>
      <c r="J27" s="33">
        <f t="shared" ref="J27:J58" si="5">IF(H$12=0,0,H27/H$12)</f>
        <v>0.55119564460964821</v>
      </c>
      <c r="K27" s="5"/>
      <c r="L27" s="22">
        <f t="shared" ref="L27:L58" si="6">+D27-H27</f>
        <v>16890.231396865398</v>
      </c>
      <c r="M27" s="5"/>
      <c r="N27" s="33">
        <f t="shared" ref="N27:N58" si="7">IF(H27=0,0,L27/H27)</f>
        <v>0.36445363358861416</v>
      </c>
      <c r="O27" s="11"/>
      <c r="P27" s="22" cm="1">
        <f t="array" ref="P27">SUM(OSRRefP22x_0)</f>
        <v>327991.50000000006</v>
      </c>
      <c r="Q27" s="22"/>
      <c r="R27" s="33">
        <f t="shared" ref="R27:R58" si="8">IF(P$12=0,0,P27/P$12)</f>
        <v>0.79697672651015461</v>
      </c>
      <c r="S27" s="22"/>
      <c r="T27" s="22" cm="1">
        <f t="array" ref="T27">SUM(OSRRefT22x_0)</f>
        <v>375166.96735913458</v>
      </c>
      <c r="U27" s="22"/>
      <c r="V27" s="33">
        <f t="shared" ref="V27:V58" si="9">IF(T$12=0,0,T27/T$12)</f>
        <v>0.81184938642658433</v>
      </c>
      <c r="W27" s="5"/>
      <c r="X27" s="22">
        <f t="shared" ref="X27:X58" si="10">+P27-T27</f>
        <v>-47175.46735913452</v>
      </c>
      <c r="Y27" s="5"/>
      <c r="Z27" s="33">
        <f t="shared" ref="Z27:Z58" si="11">IF(T27=0,0,X27/T27)</f>
        <v>-0.12574525868098363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8108.85</v>
      </c>
      <c r="E28" s="2"/>
      <c r="F28" s="6">
        <f t="shared" si="4"/>
        <v>7.8342660266068551E-2</v>
      </c>
      <c r="G28" s="2"/>
      <c r="H28" s="2">
        <f>SUM(OSRRefH22_0x_0)</f>
        <v>5297.7153146730761</v>
      </c>
      <c r="I28" s="2"/>
      <c r="J28" s="6">
        <f t="shared" si="5"/>
        <v>6.3008781201882469E-2</v>
      </c>
      <c r="K28" s="2"/>
      <c r="L28" s="2">
        <f t="shared" si="6"/>
        <v>2811.1346853269242</v>
      </c>
      <c r="M28" s="2"/>
      <c r="N28" s="6">
        <f t="shared" si="7"/>
        <v>0.53063151157649557</v>
      </c>
      <c r="O28" s="14"/>
      <c r="P28" s="2">
        <f>SUM(OSRRefP22_0x_0)</f>
        <v>30985.78</v>
      </c>
      <c r="Q28" s="2"/>
      <c r="R28" s="6">
        <f t="shared" si="8"/>
        <v>7.5291419176301264E-2</v>
      </c>
      <c r="S28" s="2"/>
      <c r="T28" s="2">
        <f>SUM(OSRRefT22_0x_0)</f>
        <v>45447.889670673074</v>
      </c>
      <c r="U28" s="2"/>
      <c r="V28" s="6">
        <f t="shared" si="9"/>
        <v>9.8347787928245139E-2</v>
      </c>
      <c r="W28" s="2"/>
      <c r="X28" s="2">
        <f t="shared" si="10"/>
        <v>-14462.109670673075</v>
      </c>
      <c r="Y28" s="2"/>
      <c r="Z28" s="6">
        <f t="shared" si="11"/>
        <v>-0.31821300780892547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7">
        <v>1689.26</v>
      </c>
      <c r="E29" s="3"/>
      <c r="F29" s="8">
        <f t="shared" si="4"/>
        <v>1.6320578415072291E-2</v>
      </c>
      <c r="G29" s="3"/>
      <c r="H29" s="7">
        <v>827.71183390384601</v>
      </c>
      <c r="I29" s="3"/>
      <c r="J29" s="8">
        <f t="shared" si="5"/>
        <v>9.8444538339400572E-3</v>
      </c>
      <c r="K29" s="3"/>
      <c r="L29" s="7">
        <f t="shared" si="6"/>
        <v>861.54816609615398</v>
      </c>
      <c r="M29" s="3"/>
      <c r="N29" s="8">
        <f t="shared" si="7"/>
        <v>1.0408793626070576</v>
      </c>
      <c r="O29" s="12"/>
      <c r="P29" s="7">
        <v>6158.83</v>
      </c>
      <c r="Q29" s="3"/>
      <c r="R29" s="8">
        <f t="shared" si="8"/>
        <v>1.4965156635255899E-2</v>
      </c>
      <c r="S29" s="3"/>
      <c r="T29" s="7">
        <v>6353.5757899038399</v>
      </c>
      <c r="U29" s="3"/>
      <c r="V29" s="8">
        <f t="shared" si="9"/>
        <v>1.3748935954989116E-2</v>
      </c>
      <c r="W29" s="3"/>
      <c r="X29" s="7">
        <f t="shared" si="10"/>
        <v>-194.74578990383998</v>
      </c>
      <c r="Y29" s="3"/>
      <c r="Z29" s="8">
        <f t="shared" si="11"/>
        <v>-3.0651368039600804E-2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7">
        <v>402.52</v>
      </c>
      <c r="E30" s="3"/>
      <c r="F30" s="8">
        <f t="shared" si="4"/>
        <v>3.8888976378028831E-3</v>
      </c>
      <c r="G30" s="3"/>
      <c r="H30" s="7">
        <v>861.26314173076901</v>
      </c>
      <c r="I30" s="3"/>
      <c r="J30" s="8">
        <f t="shared" si="5"/>
        <v>1.0243498872854922E-2</v>
      </c>
      <c r="K30" s="3"/>
      <c r="L30" s="7">
        <f t="shared" si="6"/>
        <v>-458.74314173076903</v>
      </c>
      <c r="M30" s="3"/>
      <c r="N30" s="8">
        <f t="shared" si="7"/>
        <v>-0.53263993256334219</v>
      </c>
      <c r="O30" s="12"/>
      <c r="P30" s="7">
        <v>1916.2</v>
      </c>
      <c r="Q30" s="3"/>
      <c r="R30" s="8">
        <f t="shared" si="8"/>
        <v>4.6561170132114948E-3</v>
      </c>
      <c r="S30" s="3"/>
      <c r="T30" s="7">
        <v>6163.7581497307701</v>
      </c>
      <c r="U30" s="3"/>
      <c r="V30" s="8">
        <f t="shared" si="9"/>
        <v>1.3338176618173806E-2</v>
      </c>
      <c r="W30" s="3"/>
      <c r="X30" s="7">
        <f t="shared" si="10"/>
        <v>-4247.5581497307703</v>
      </c>
      <c r="Y30" s="3"/>
      <c r="Z30" s="8">
        <f t="shared" si="11"/>
        <v>-0.68911823704768516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7">
        <v>3036.65</v>
      </c>
      <c r="E31" s="3"/>
      <c r="F31" s="8">
        <f t="shared" si="4"/>
        <v>2.9338221732669499E-2</v>
      </c>
      <c r="G31" s="3"/>
      <c r="H31" s="7">
        <v>1977</v>
      </c>
      <c r="I31" s="3"/>
      <c r="J31" s="8">
        <f t="shared" si="5"/>
        <v>2.3513600304475551E-2</v>
      </c>
      <c r="K31" s="3"/>
      <c r="L31" s="7">
        <f t="shared" si="6"/>
        <v>1059.6500000000001</v>
      </c>
      <c r="M31" s="3"/>
      <c r="N31" s="8">
        <f t="shared" si="7"/>
        <v>0.53598887202832579</v>
      </c>
      <c r="O31" s="12"/>
      <c r="P31" s="7">
        <v>12180.44</v>
      </c>
      <c r="Q31" s="3"/>
      <c r="R31" s="8">
        <f t="shared" si="8"/>
        <v>2.9596886500575004E-2</v>
      </c>
      <c r="S31" s="3"/>
      <c r="T31" s="7">
        <v>19770</v>
      </c>
      <c r="U31" s="3"/>
      <c r="V31" s="8">
        <f t="shared" si="9"/>
        <v>4.2781651280852775E-2</v>
      </c>
      <c r="W31" s="3"/>
      <c r="X31" s="7">
        <f t="shared" si="10"/>
        <v>-7589.5599999999995</v>
      </c>
      <c r="Y31" s="3"/>
      <c r="Z31" s="8">
        <f t="shared" si="11"/>
        <v>-0.38389276681841172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7">
        <v>70.72</v>
      </c>
      <c r="E32" s="3"/>
      <c r="F32" s="8">
        <f t="shared" si="4"/>
        <v>6.8325261091478661E-4</v>
      </c>
      <c r="G32" s="3"/>
      <c r="H32" s="7">
        <v>47.721704423076901</v>
      </c>
      <c r="I32" s="3"/>
      <c r="J32" s="8">
        <f t="shared" si="5"/>
        <v>5.6758173174130161E-4</v>
      </c>
      <c r="K32" s="3"/>
      <c r="L32" s="7">
        <f t="shared" si="6"/>
        <v>22.998295576923098</v>
      </c>
      <c r="M32" s="3"/>
      <c r="N32" s="8">
        <f t="shared" si="7"/>
        <v>0.48192527603439406</v>
      </c>
      <c r="O32" s="12"/>
      <c r="P32" s="7">
        <v>314.20999999999998</v>
      </c>
      <c r="Q32" s="3"/>
      <c r="R32" s="8">
        <f t="shared" si="8"/>
        <v>7.6348947224777355E-4</v>
      </c>
      <c r="S32" s="3"/>
      <c r="T32" s="7">
        <v>341.52749642307703</v>
      </c>
      <c r="U32" s="3"/>
      <c r="V32" s="8">
        <f t="shared" si="9"/>
        <v>7.3905464111253291E-4</v>
      </c>
      <c r="W32" s="3"/>
      <c r="X32" s="7">
        <f t="shared" si="10"/>
        <v>-27.317496423077046</v>
      </c>
      <c r="Y32" s="3"/>
      <c r="Z32" s="8">
        <f t="shared" si="11"/>
        <v>-7.9986228661474187E-2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7">
        <v>794.87</v>
      </c>
      <c r="E33" s="3"/>
      <c r="F33" s="8">
        <f t="shared" si="4"/>
        <v>7.6795390672770988E-3</v>
      </c>
      <c r="G33" s="3"/>
      <c r="H33" s="7">
        <v>497.41076923076901</v>
      </c>
      <c r="I33" s="3"/>
      <c r="J33" s="8">
        <f t="shared" si="5"/>
        <v>5.9159929260667824E-3</v>
      </c>
      <c r="K33" s="3"/>
      <c r="L33" s="7">
        <f t="shared" si="6"/>
        <v>297.459230769231</v>
      </c>
      <c r="M33" s="3"/>
      <c r="N33" s="8">
        <f t="shared" si="7"/>
        <v>0.59801526056470966</v>
      </c>
      <c r="O33" s="12"/>
      <c r="P33" s="7">
        <v>2439.41</v>
      </c>
      <c r="Q33" s="3"/>
      <c r="R33" s="8">
        <f t="shared" si="8"/>
        <v>5.9274493284616698E-3</v>
      </c>
      <c r="S33" s="3"/>
      <c r="T33" s="7">
        <v>4377.2147692307699</v>
      </c>
      <c r="U33" s="3"/>
      <c r="V33" s="8">
        <f t="shared" si="9"/>
        <v>9.4721535578466999E-3</v>
      </c>
      <c r="W33" s="3"/>
      <c r="X33" s="7">
        <f t="shared" si="10"/>
        <v>-1937.80476923077</v>
      </c>
      <c r="Y33" s="3"/>
      <c r="Z33" s="8">
        <f t="shared" si="11"/>
        <v>-0.44270269369746057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7"/>
      <c r="E34" s="3"/>
      <c r="F34" s="8">
        <f t="shared" si="4"/>
        <v>0</v>
      </c>
      <c r="G34" s="3"/>
      <c r="H34" s="7">
        <v>0</v>
      </c>
      <c r="I34" s="3"/>
      <c r="J34" s="8">
        <f t="shared" si="5"/>
        <v>0</v>
      </c>
      <c r="K34" s="3"/>
      <c r="L34" s="7">
        <f t="shared" si="6"/>
        <v>0</v>
      </c>
      <c r="M34" s="3"/>
      <c r="N34" s="8">
        <f t="shared" si="7"/>
        <v>0</v>
      </c>
      <c r="O34" s="12"/>
      <c r="P34" s="7"/>
      <c r="Q34" s="3"/>
      <c r="R34" s="8">
        <f t="shared" si="8"/>
        <v>0</v>
      </c>
      <c r="S34" s="3"/>
      <c r="T34" s="7">
        <v>0</v>
      </c>
      <c r="U34" s="3"/>
      <c r="V34" s="8">
        <f t="shared" si="9"/>
        <v>0</v>
      </c>
      <c r="W34" s="3"/>
      <c r="X34" s="7">
        <f t="shared" si="10"/>
        <v>0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7">
        <v>211.63</v>
      </c>
      <c r="E35" s="3"/>
      <c r="F35" s="8">
        <f t="shared" si="4"/>
        <v>2.0446373027134656E-3</v>
      </c>
      <c r="G35" s="3"/>
      <c r="H35" s="7"/>
      <c r="I35" s="3"/>
      <c r="J35" s="8">
        <f t="shared" si="5"/>
        <v>0</v>
      </c>
      <c r="K35" s="3"/>
      <c r="L35" s="7">
        <f t="shared" si="6"/>
        <v>211.63</v>
      </c>
      <c r="M35" s="3"/>
      <c r="N35" s="8">
        <f t="shared" si="7"/>
        <v>0</v>
      </c>
      <c r="O35" s="12"/>
      <c r="P35" s="7">
        <v>968.66</v>
      </c>
      <c r="Q35" s="3"/>
      <c r="R35" s="8">
        <f t="shared" si="8"/>
        <v>2.3537179344627107E-3</v>
      </c>
      <c r="S35" s="3"/>
      <c r="T35" s="7"/>
      <c r="U35" s="3"/>
      <c r="V35" s="8">
        <f t="shared" si="9"/>
        <v>0</v>
      </c>
      <c r="W35" s="3"/>
      <c r="X35" s="7">
        <f t="shared" si="10"/>
        <v>968.66</v>
      </c>
      <c r="Y35" s="3"/>
      <c r="Z35" s="8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7">
        <v>797.52</v>
      </c>
      <c r="E36" s="3"/>
      <c r="F36" s="8">
        <f t="shared" si="4"/>
        <v>7.7051417174315694E-3</v>
      </c>
      <c r="G36" s="3"/>
      <c r="H36" s="7">
        <v>289.19230769230802</v>
      </c>
      <c r="I36" s="3"/>
      <c r="J36" s="8">
        <f t="shared" si="5"/>
        <v>3.4395307709690652E-3</v>
      </c>
      <c r="K36" s="3"/>
      <c r="L36" s="7">
        <f t="shared" si="6"/>
        <v>508.32769230769196</v>
      </c>
      <c r="M36" s="3"/>
      <c r="N36" s="8">
        <f t="shared" si="7"/>
        <v>1.7577497007580762</v>
      </c>
      <c r="O36" s="12"/>
      <c r="P36" s="7">
        <v>2637.42</v>
      </c>
      <c r="Q36" s="3"/>
      <c r="R36" s="8">
        <f t="shared" si="8"/>
        <v>6.4085878994803577E-3</v>
      </c>
      <c r="S36" s="3"/>
      <c r="T36" s="7">
        <v>2544.8923076923102</v>
      </c>
      <c r="U36" s="3"/>
      <c r="V36" s="8">
        <f t="shared" si="9"/>
        <v>5.5070660220039001E-3</v>
      </c>
      <c r="W36" s="3"/>
      <c r="X36" s="7">
        <f t="shared" si="10"/>
        <v>92.527692307689904</v>
      </c>
      <c r="Y36" s="3"/>
      <c r="Z36" s="8">
        <f t="shared" si="11"/>
        <v>3.6358195601445056E-2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7">
        <v>641.97</v>
      </c>
      <c r="E37" s="3"/>
      <c r="F37" s="8">
        <f t="shared" si="4"/>
        <v>6.20231446025121E-3</v>
      </c>
      <c r="G37" s="3"/>
      <c r="H37" s="7">
        <v>797.41555769230797</v>
      </c>
      <c r="I37" s="3"/>
      <c r="J37" s="8">
        <f t="shared" si="5"/>
        <v>9.4841227618347977E-3</v>
      </c>
      <c r="K37" s="3"/>
      <c r="L37" s="7">
        <f t="shared" si="6"/>
        <v>-155.44555769230794</v>
      </c>
      <c r="M37" s="3"/>
      <c r="N37" s="8">
        <f t="shared" si="7"/>
        <v>-0.19493670043529351</v>
      </c>
      <c r="O37" s="12"/>
      <c r="P37" s="7">
        <v>2219.2800000000002</v>
      </c>
      <c r="Q37" s="3"/>
      <c r="R37" s="8">
        <f t="shared" si="8"/>
        <v>5.3925620316668445E-3</v>
      </c>
      <c r="S37" s="3"/>
      <c r="T37" s="7">
        <v>5896.9211576923099</v>
      </c>
      <c r="U37" s="3"/>
      <c r="V37" s="8">
        <f t="shared" si="9"/>
        <v>1.2760749853266315E-2</v>
      </c>
      <c r="W37" s="3"/>
      <c r="X37" s="7">
        <f t="shared" si="10"/>
        <v>-3677.6411576923097</v>
      </c>
      <c r="Y37" s="3"/>
      <c r="Z37" s="8">
        <f t="shared" si="11"/>
        <v>-0.62365445617243265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7">
        <v>463.71</v>
      </c>
      <c r="E38" s="3"/>
      <c r="F38" s="8">
        <f t="shared" si="4"/>
        <v>4.4800773219357427E-3</v>
      </c>
      <c r="G38" s="3"/>
      <c r="H38" s="7"/>
      <c r="I38" s="3"/>
      <c r="J38" s="8">
        <f t="shared" si="5"/>
        <v>0</v>
      </c>
      <c r="K38" s="3"/>
      <c r="L38" s="7">
        <f t="shared" si="6"/>
        <v>463.71</v>
      </c>
      <c r="M38" s="3"/>
      <c r="N38" s="8">
        <f t="shared" si="7"/>
        <v>0</v>
      </c>
      <c r="O38" s="12"/>
      <c r="P38" s="7">
        <v>2151.33</v>
      </c>
      <c r="Q38" s="3"/>
      <c r="R38" s="8">
        <f t="shared" si="8"/>
        <v>5.2274523609395079E-3</v>
      </c>
      <c r="S38" s="3"/>
      <c r="T38" s="7"/>
      <c r="U38" s="3"/>
      <c r="V38" s="8">
        <f t="shared" si="9"/>
        <v>0</v>
      </c>
      <c r="W38" s="3"/>
      <c r="X38" s="7">
        <f t="shared" si="10"/>
        <v>2151.33</v>
      </c>
      <c r="Y38" s="3"/>
      <c r="Z38" s="8">
        <f t="shared" si="11"/>
        <v>0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34513.64</v>
      </c>
      <c r="E39" s="2"/>
      <c r="F39" s="6">
        <f t="shared" si="4"/>
        <v>0.33344930206692613</v>
      </c>
      <c r="G39" s="2"/>
      <c r="H39" s="2">
        <f>SUM(OSRRefH22_1x_0)</f>
        <v>21638.013288461538</v>
      </c>
      <c r="I39" s="2"/>
      <c r="J39" s="6">
        <f t="shared" si="5"/>
        <v>0.25735336158210181</v>
      </c>
      <c r="K39" s="2"/>
      <c r="L39" s="2">
        <f t="shared" si="6"/>
        <v>12875.626711538462</v>
      </c>
      <c r="M39" s="2"/>
      <c r="N39" s="6">
        <f t="shared" si="7"/>
        <v>0.5950466218820738</v>
      </c>
      <c r="O39" s="14"/>
      <c r="P39" s="2">
        <f>SUM(OSRRefP22_1x_0)</f>
        <v>133957.37</v>
      </c>
      <c r="Q39" s="2"/>
      <c r="R39" s="6">
        <f t="shared" si="8"/>
        <v>0.32549900297571605</v>
      </c>
      <c r="S39" s="2"/>
      <c r="T39" s="2">
        <f>SUM(OSRRefT22_1x_0)</f>
        <v>154190.32768846152</v>
      </c>
      <c r="U39" s="2"/>
      <c r="V39" s="6">
        <f t="shared" si="9"/>
        <v>0.33366296560688818</v>
      </c>
      <c r="W39" s="2"/>
      <c r="X39" s="2">
        <f t="shared" si="10"/>
        <v>-20232.957688461524</v>
      </c>
      <c r="Y39" s="2"/>
      <c r="Z39" s="6">
        <f t="shared" si="11"/>
        <v>-0.13122066728687296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7"/>
      <c r="E40" s="3"/>
      <c r="F40" s="8">
        <f t="shared" si="4"/>
        <v>0</v>
      </c>
      <c r="G40" s="3"/>
      <c r="H40" s="7">
        <v>0</v>
      </c>
      <c r="I40" s="3"/>
      <c r="J40" s="8">
        <f t="shared" si="5"/>
        <v>0</v>
      </c>
      <c r="K40" s="3"/>
      <c r="L40" s="7">
        <f t="shared" si="6"/>
        <v>0</v>
      </c>
      <c r="M40" s="3"/>
      <c r="N40" s="8">
        <f t="shared" si="7"/>
        <v>0</v>
      </c>
      <c r="O40" s="12"/>
      <c r="P40" s="7"/>
      <c r="Q40" s="3"/>
      <c r="R40" s="8">
        <f t="shared" si="8"/>
        <v>0</v>
      </c>
      <c r="S40" s="3"/>
      <c r="T40" s="7">
        <v>0</v>
      </c>
      <c r="U40" s="3"/>
      <c r="V40" s="8">
        <f t="shared" si="9"/>
        <v>0</v>
      </c>
      <c r="W40" s="3"/>
      <c r="X40" s="7">
        <f t="shared" si="10"/>
        <v>0</v>
      </c>
      <c r="Y40" s="3"/>
      <c r="Z40" s="8">
        <f t="shared" si="11"/>
        <v>0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7">
        <v>5541.93</v>
      </c>
      <c r="E41" s="3"/>
      <c r="F41" s="8">
        <f t="shared" si="4"/>
        <v>5.354267734738382E-2</v>
      </c>
      <c r="G41" s="3"/>
      <c r="H41" s="7">
        <v>5205.4615384615399</v>
      </c>
      <c r="I41" s="3"/>
      <c r="J41" s="8">
        <f t="shared" si="5"/>
        <v>6.1911553877443119E-2</v>
      </c>
      <c r="K41" s="3"/>
      <c r="L41" s="7">
        <f t="shared" si="6"/>
        <v>336.46846153846036</v>
      </c>
      <c r="M41" s="3"/>
      <c r="N41" s="8">
        <f t="shared" si="7"/>
        <v>6.4637584785210561E-2</v>
      </c>
      <c r="O41" s="12"/>
      <c r="P41" s="7">
        <v>21161.54</v>
      </c>
      <c r="Q41" s="3"/>
      <c r="R41" s="8">
        <f t="shared" si="8"/>
        <v>5.1419792516311229E-2</v>
      </c>
      <c r="S41" s="3"/>
      <c r="T41" s="7">
        <v>45808.061538461501</v>
      </c>
      <c r="U41" s="3"/>
      <c r="V41" s="8">
        <f t="shared" si="9"/>
        <v>9.9127188396070015E-2</v>
      </c>
      <c r="W41" s="3"/>
      <c r="X41" s="7">
        <f t="shared" si="10"/>
        <v>-24646.5215384615</v>
      </c>
      <c r="Y41" s="3"/>
      <c r="Z41" s="8">
        <f t="shared" si="11"/>
        <v>-0.53803895451388428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7">
        <v>6240.77</v>
      </c>
      <c r="E43" s="3"/>
      <c r="F43" s="8">
        <f t="shared" si="4"/>
        <v>6.0294434341327391E-2</v>
      </c>
      <c r="G43" s="3"/>
      <c r="H43" s="7">
        <v>4880.7247500000003</v>
      </c>
      <c r="I43" s="3"/>
      <c r="J43" s="8">
        <f t="shared" si="5"/>
        <v>5.8049272113131704E-2</v>
      </c>
      <c r="K43" s="3"/>
      <c r="L43" s="7">
        <f t="shared" si="6"/>
        <v>1360.0452500000001</v>
      </c>
      <c r="M43" s="3"/>
      <c r="N43" s="8">
        <f t="shared" si="7"/>
        <v>0.27865641265674734</v>
      </c>
      <c r="O43" s="12"/>
      <c r="P43" s="7">
        <v>24632.99</v>
      </c>
      <c r="Q43" s="3"/>
      <c r="R43" s="8">
        <f t="shared" si="8"/>
        <v>5.9854964943778642E-2</v>
      </c>
      <c r="S43" s="3"/>
      <c r="T43" s="7">
        <v>31159.188750000001</v>
      </c>
      <c r="U43" s="3"/>
      <c r="V43" s="8">
        <f t="shared" si="9"/>
        <v>6.7427493540554925E-2</v>
      </c>
      <c r="W43" s="3"/>
      <c r="X43" s="7">
        <f t="shared" si="10"/>
        <v>-6526.1987499999996</v>
      </c>
      <c r="Y43" s="3"/>
      <c r="Z43" s="8">
        <f t="shared" si="11"/>
        <v>-0.20944700461753837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7">
        <v>5012.8</v>
      </c>
      <c r="E44" s="3"/>
      <c r="F44" s="8">
        <f t="shared" si="4"/>
        <v>4.8430552714842229E-2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5012.8</v>
      </c>
      <c r="M44" s="3"/>
      <c r="N44" s="8">
        <f t="shared" si="7"/>
        <v>0</v>
      </c>
      <c r="O44" s="12"/>
      <c r="P44" s="7">
        <v>26220.47</v>
      </c>
      <c r="Q44" s="3"/>
      <c r="R44" s="8">
        <f t="shared" si="8"/>
        <v>6.3712335070139653E-2</v>
      </c>
      <c r="S44" s="3"/>
      <c r="T44" s="7">
        <v>0</v>
      </c>
      <c r="U44" s="3"/>
      <c r="V44" s="8">
        <f t="shared" si="9"/>
        <v>0</v>
      </c>
      <c r="W44" s="3"/>
      <c r="X44" s="7">
        <f t="shared" si="10"/>
        <v>26220.47</v>
      </c>
      <c r="Y44" s="3"/>
      <c r="Z44" s="8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7">
        <v>2858.76</v>
      </c>
      <c r="E45" s="3"/>
      <c r="F45" s="8">
        <f t="shared" si="4"/>
        <v>2.7619559303998242E-2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2858.76</v>
      </c>
      <c r="M45" s="3"/>
      <c r="N45" s="8">
        <f t="shared" si="7"/>
        <v>0</v>
      </c>
      <c r="O45" s="12"/>
      <c r="P45" s="7">
        <v>5202</v>
      </c>
      <c r="Q45" s="3"/>
      <c r="R45" s="8">
        <f t="shared" si="8"/>
        <v>1.264018406362916E-2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5202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7">
        <v>11134.09</v>
      </c>
      <c r="E46" s="3"/>
      <c r="F46" s="8">
        <f t="shared" si="4"/>
        <v>0.10757064568241256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11134.09</v>
      </c>
      <c r="M46" s="3"/>
      <c r="N46" s="8">
        <f t="shared" si="7"/>
        <v>0</v>
      </c>
      <c r="O46" s="12"/>
      <c r="P46" s="7">
        <v>49125.51</v>
      </c>
      <c r="Q46" s="3"/>
      <c r="R46" s="8">
        <f t="shared" si="8"/>
        <v>0.11936860603991829</v>
      </c>
      <c r="S46" s="3"/>
      <c r="T46" s="7">
        <v>0</v>
      </c>
      <c r="U46" s="3"/>
      <c r="V46" s="8">
        <f t="shared" si="9"/>
        <v>0</v>
      </c>
      <c r="W46" s="3"/>
      <c r="X46" s="7">
        <f t="shared" si="10"/>
        <v>49125.51</v>
      </c>
      <c r="Y46" s="3"/>
      <c r="Z46" s="8">
        <f t="shared" si="11"/>
        <v>0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7">
        <v>3725.29</v>
      </c>
      <c r="E47" s="3"/>
      <c r="F47" s="8">
        <f t="shared" si="4"/>
        <v>3.59914326769619E-2</v>
      </c>
      <c r="G47" s="3"/>
      <c r="H47" s="7">
        <v>11551.826999999999</v>
      </c>
      <c r="I47" s="3"/>
      <c r="J47" s="8">
        <f t="shared" si="5"/>
        <v>0.137392535591527</v>
      </c>
      <c r="K47" s="3"/>
      <c r="L47" s="7">
        <f t="shared" si="6"/>
        <v>-7826.5369999999994</v>
      </c>
      <c r="M47" s="3"/>
      <c r="N47" s="8">
        <f t="shared" si="7"/>
        <v>-0.67751508051496956</v>
      </c>
      <c r="O47" s="12"/>
      <c r="P47" s="7">
        <v>7614.86</v>
      </c>
      <c r="Q47" s="3"/>
      <c r="R47" s="8">
        <f t="shared" si="8"/>
        <v>1.850312034193909E-2</v>
      </c>
      <c r="S47" s="3"/>
      <c r="T47" s="7">
        <v>77223.077399999995</v>
      </c>
      <c r="U47" s="3"/>
      <c r="V47" s="8">
        <f t="shared" si="9"/>
        <v>0.16710828367026317</v>
      </c>
      <c r="W47" s="3"/>
      <c r="X47" s="7">
        <f t="shared" si="10"/>
        <v>-69608.217399999994</v>
      </c>
      <c r="Y47" s="3"/>
      <c r="Z47" s="8">
        <f t="shared" si="11"/>
        <v>-0.90139139417409442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7"/>
      <c r="E49" s="3"/>
      <c r="F49" s="8">
        <f t="shared" si="4"/>
        <v>0</v>
      </c>
      <c r="G49" s="3"/>
      <c r="H49" s="7">
        <v>0</v>
      </c>
      <c r="I49" s="3"/>
      <c r="J49" s="8">
        <f t="shared" si="5"/>
        <v>0</v>
      </c>
      <c r="K49" s="3"/>
      <c r="L49" s="7">
        <f t="shared" si="6"/>
        <v>0</v>
      </c>
      <c r="M49" s="3"/>
      <c r="N49" s="8">
        <f t="shared" si="7"/>
        <v>0</v>
      </c>
      <c r="O49" s="12"/>
      <c r="P49" s="7"/>
      <c r="Q49" s="3"/>
      <c r="R49" s="8">
        <f t="shared" si="8"/>
        <v>0</v>
      </c>
      <c r="S49" s="3"/>
      <c r="T49" s="7">
        <v>0</v>
      </c>
      <c r="U49" s="3"/>
      <c r="V49" s="8">
        <f t="shared" si="9"/>
        <v>0</v>
      </c>
      <c r="W49" s="3"/>
      <c r="X49" s="7">
        <f t="shared" si="10"/>
        <v>0</v>
      </c>
      <c r="Y49" s="3"/>
      <c r="Z49" s="8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0</v>
      </c>
      <c r="E50" s="2"/>
      <c r="F50" s="6">
        <f t="shared" si="4"/>
        <v>0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SUM(OSRRefP22_2x_0)</f>
        <v>625.16999999999996</v>
      </c>
      <c r="Q50" s="2"/>
      <c r="R50" s="6">
        <f t="shared" si="8"/>
        <v>1.5190818667933567E-3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625.16999999999996</v>
      </c>
      <c r="Y50" s="2"/>
      <c r="Z50" s="6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7"/>
      <c r="E51" s="3"/>
      <c r="F51" s="8">
        <f t="shared" si="4"/>
        <v>0</v>
      </c>
      <c r="G51" s="3"/>
      <c r="H51" s="7"/>
      <c r="I51" s="3"/>
      <c r="J51" s="8">
        <f t="shared" si="5"/>
        <v>0</v>
      </c>
      <c r="K51" s="3"/>
      <c r="L51" s="7">
        <f t="shared" si="6"/>
        <v>0</v>
      </c>
      <c r="M51" s="3"/>
      <c r="N51" s="8">
        <f t="shared" si="7"/>
        <v>0</v>
      </c>
      <c r="O51" s="12"/>
      <c r="P51" s="7">
        <v>625.16999999999996</v>
      </c>
      <c r="Q51" s="3"/>
      <c r="R51" s="8">
        <f t="shared" si="8"/>
        <v>1.5190818667933567E-3</v>
      </c>
      <c r="S51" s="3"/>
      <c r="T51" s="7">
        <v>0</v>
      </c>
      <c r="U51" s="3"/>
      <c r="V51" s="8">
        <f t="shared" si="9"/>
        <v>0</v>
      </c>
      <c r="W51" s="3"/>
      <c r="X51" s="7">
        <f t="shared" si="10"/>
        <v>625.16999999999996</v>
      </c>
      <c r="Y51" s="3"/>
      <c r="Z51" s="8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0.41</v>
      </c>
      <c r="E52" s="2"/>
      <c r="F52" s="6">
        <f t="shared" si="4"/>
        <v>3.9611647408804085E-6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0.41</v>
      </c>
      <c r="M52" s="2"/>
      <c r="N52" s="6">
        <f t="shared" si="7"/>
        <v>0</v>
      </c>
      <c r="O52" s="14"/>
      <c r="P52" s="2">
        <f>SUM(OSRRefP22_3x_0)</f>
        <v>8.77</v>
      </c>
      <c r="Q52" s="2"/>
      <c r="R52" s="6">
        <f t="shared" si="8"/>
        <v>2.1309960445603178E-5</v>
      </c>
      <c r="S52" s="2"/>
      <c r="T52" s="2">
        <f>SUM(OSRRefT22_3x_0)</f>
        <v>0</v>
      </c>
      <c r="U52" s="2"/>
      <c r="V52" s="6">
        <f t="shared" si="9"/>
        <v>0</v>
      </c>
      <c r="W52" s="2"/>
      <c r="X52" s="2">
        <f t="shared" si="10"/>
        <v>8.77</v>
      </c>
      <c r="Y52" s="2"/>
      <c r="Z52" s="6">
        <f t="shared" si="11"/>
        <v>0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7">
        <v>0.41</v>
      </c>
      <c r="E53" s="3"/>
      <c r="F53" s="8">
        <f t="shared" si="4"/>
        <v>3.9611647408804085E-6</v>
      </c>
      <c r="G53" s="3"/>
      <c r="H53" s="7">
        <v>0</v>
      </c>
      <c r="I53" s="3"/>
      <c r="J53" s="8">
        <f t="shared" si="5"/>
        <v>0</v>
      </c>
      <c r="K53" s="3"/>
      <c r="L53" s="7">
        <f t="shared" si="6"/>
        <v>0.41</v>
      </c>
      <c r="M53" s="3"/>
      <c r="N53" s="8">
        <f t="shared" si="7"/>
        <v>0</v>
      </c>
      <c r="O53" s="12"/>
      <c r="P53" s="7">
        <v>8.77</v>
      </c>
      <c r="Q53" s="3"/>
      <c r="R53" s="8">
        <f t="shared" si="8"/>
        <v>2.1309960445603178E-5</v>
      </c>
      <c r="S53" s="3"/>
      <c r="T53" s="7">
        <v>0</v>
      </c>
      <c r="U53" s="3"/>
      <c r="V53" s="8">
        <f t="shared" si="9"/>
        <v>0</v>
      </c>
      <c r="W53" s="3"/>
      <c r="X53" s="7">
        <f t="shared" si="10"/>
        <v>8.77</v>
      </c>
      <c r="Y53" s="3"/>
      <c r="Z53" s="8">
        <f t="shared" si="11"/>
        <v>0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5711.76</v>
      </c>
      <c r="E54" s="2"/>
      <c r="F54" s="6">
        <f t="shared" si="4"/>
        <v>5.5183469074075821E-2</v>
      </c>
      <c r="G54" s="2"/>
      <c r="H54" s="2">
        <f>SUM(OSRRefH22_4x_0)</f>
        <v>4054.25</v>
      </c>
      <c r="I54" s="2"/>
      <c r="J54" s="6">
        <f t="shared" si="5"/>
        <v>4.8219531630966116E-2</v>
      </c>
      <c r="K54" s="2"/>
      <c r="L54" s="2">
        <f t="shared" si="6"/>
        <v>1657.5100000000002</v>
      </c>
      <c r="M54" s="2"/>
      <c r="N54" s="6">
        <f t="shared" si="7"/>
        <v>0.40883270641918978</v>
      </c>
      <c r="O54" s="14"/>
      <c r="P54" s="2">
        <f>SUM(OSRRefP22_4x_0)</f>
        <v>19670.39</v>
      </c>
      <c r="Q54" s="2"/>
      <c r="R54" s="6">
        <f t="shared" si="8"/>
        <v>4.7796491773043133E-2</v>
      </c>
      <c r="S54" s="2"/>
      <c r="T54" s="2">
        <f>SUM(OSRRefT22_4x_0)</f>
        <v>20999.75</v>
      </c>
      <c r="U54" s="2"/>
      <c r="V54" s="6">
        <f t="shared" si="9"/>
        <v>4.5442791172740922E-2</v>
      </c>
      <c r="W54" s="2"/>
      <c r="X54" s="2">
        <f t="shared" si="10"/>
        <v>-1329.3600000000006</v>
      </c>
      <c r="Y54" s="2"/>
      <c r="Z54" s="6">
        <f t="shared" si="11"/>
        <v>-6.3303610757270951E-2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7">
        <v>5711.76</v>
      </c>
      <c r="E55" s="3"/>
      <c r="F55" s="8">
        <f t="shared" si="4"/>
        <v>5.5183469074075821E-2</v>
      </c>
      <c r="G55" s="3"/>
      <c r="H55" s="7">
        <v>4054.25</v>
      </c>
      <c r="I55" s="3"/>
      <c r="J55" s="8">
        <f t="shared" si="5"/>
        <v>4.8219531630966116E-2</v>
      </c>
      <c r="K55" s="3"/>
      <c r="L55" s="7">
        <f t="shared" si="6"/>
        <v>1657.5100000000002</v>
      </c>
      <c r="M55" s="3"/>
      <c r="N55" s="8">
        <f t="shared" si="7"/>
        <v>0.40883270641918978</v>
      </c>
      <c r="O55" s="12"/>
      <c r="P55" s="7">
        <v>19670.39</v>
      </c>
      <c r="Q55" s="3"/>
      <c r="R55" s="8">
        <f t="shared" si="8"/>
        <v>4.7796491773043133E-2</v>
      </c>
      <c r="S55" s="3"/>
      <c r="T55" s="7">
        <v>20999.75</v>
      </c>
      <c r="U55" s="3"/>
      <c r="V55" s="8">
        <f t="shared" si="9"/>
        <v>4.5442791172740922E-2</v>
      </c>
      <c r="W55" s="3"/>
      <c r="X55" s="7">
        <f t="shared" si="10"/>
        <v>-1329.3600000000006</v>
      </c>
      <c r="Y55" s="3"/>
      <c r="Z55" s="8">
        <f t="shared" si="11"/>
        <v>-6.3303610757270951E-2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6324.75</v>
      </c>
      <c r="E56" s="2"/>
      <c r="F56" s="6">
        <f t="shared" si="4"/>
        <v>6.1105796816788696E-2</v>
      </c>
      <c r="G56" s="2"/>
      <c r="H56" s="2">
        <f>SUM(OSRRefH22_5x_0)</f>
        <v>6324</v>
      </c>
      <c r="I56" s="2"/>
      <c r="J56" s="6">
        <f t="shared" si="5"/>
        <v>7.521497639125109E-2</v>
      </c>
      <c r="K56" s="2"/>
      <c r="L56" s="2">
        <f t="shared" si="6"/>
        <v>0.75</v>
      </c>
      <c r="M56" s="2"/>
      <c r="N56" s="6">
        <f t="shared" si="7"/>
        <v>1.1859582542694497E-4</v>
      </c>
      <c r="O56" s="14"/>
      <c r="P56" s="2">
        <f>SUM(OSRRefP22_5x_0)</f>
        <v>65679.86</v>
      </c>
      <c r="Q56" s="2"/>
      <c r="R56" s="6">
        <f t="shared" si="8"/>
        <v>0.15959352550430494</v>
      </c>
      <c r="S56" s="2"/>
      <c r="T56" s="2">
        <f>SUM(OSRRefT22_5x_0)</f>
        <v>65670</v>
      </c>
      <c r="U56" s="2"/>
      <c r="V56" s="6">
        <f t="shared" si="9"/>
        <v>0.14210779158389489</v>
      </c>
      <c r="W56" s="2"/>
      <c r="X56" s="2">
        <f t="shared" si="10"/>
        <v>9.8600000000005821</v>
      </c>
      <c r="Y56" s="2"/>
      <c r="Z56" s="6">
        <f t="shared" si="11"/>
        <v>1.5014466270748565E-4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7">
        <v>5080.51</v>
      </c>
      <c r="E57" s="3"/>
      <c r="F57" s="8">
        <f t="shared" si="4"/>
        <v>4.9084724579732508E-2</v>
      </c>
      <c r="G57" s="3"/>
      <c r="H57" s="7"/>
      <c r="I57" s="3"/>
      <c r="J57" s="8">
        <f t="shared" si="5"/>
        <v>0</v>
      </c>
      <c r="K57" s="3"/>
      <c r="L57" s="7">
        <f t="shared" si="6"/>
        <v>5080.51</v>
      </c>
      <c r="M57" s="3"/>
      <c r="N57" s="8">
        <f t="shared" si="7"/>
        <v>0</v>
      </c>
      <c r="O57" s="12"/>
      <c r="P57" s="7">
        <v>50805.1</v>
      </c>
      <c r="Q57" s="3"/>
      <c r="R57" s="8">
        <f t="shared" si="8"/>
        <v>0.1234497914977097</v>
      </c>
      <c r="S57" s="3"/>
      <c r="T57" s="7"/>
      <c r="U57" s="3"/>
      <c r="V57" s="8">
        <f t="shared" si="9"/>
        <v>0</v>
      </c>
      <c r="W57" s="3"/>
      <c r="X57" s="7">
        <f t="shared" si="10"/>
        <v>50805.1</v>
      </c>
      <c r="Y57" s="3"/>
      <c r="Z57" s="8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7">
        <v>1244.24</v>
      </c>
      <c r="E58" s="3"/>
      <c r="F58" s="8">
        <f t="shared" si="4"/>
        <v>1.2021072237056195E-2</v>
      </c>
      <c r="G58" s="3"/>
      <c r="H58" s="7">
        <v>6324</v>
      </c>
      <c r="I58" s="3"/>
      <c r="J58" s="8">
        <f t="shared" si="5"/>
        <v>7.521497639125109E-2</v>
      </c>
      <c r="K58" s="3"/>
      <c r="L58" s="7">
        <f t="shared" si="6"/>
        <v>-5079.76</v>
      </c>
      <c r="M58" s="3"/>
      <c r="N58" s="8">
        <f t="shared" si="7"/>
        <v>-0.80325110689437074</v>
      </c>
      <c r="O58" s="12"/>
      <c r="P58" s="7">
        <v>14874.76</v>
      </c>
      <c r="Q58" s="3"/>
      <c r="R58" s="8">
        <f t="shared" si="8"/>
        <v>3.6143734006595249E-2</v>
      </c>
      <c r="S58" s="3"/>
      <c r="T58" s="7">
        <v>65670</v>
      </c>
      <c r="U58" s="3"/>
      <c r="V58" s="8">
        <f t="shared" si="9"/>
        <v>0.14210779158389489</v>
      </c>
      <c r="W58" s="3"/>
      <c r="X58" s="7">
        <f t="shared" si="10"/>
        <v>-50795.24</v>
      </c>
      <c r="Y58" s="3"/>
      <c r="Z58" s="8">
        <f t="shared" si="11"/>
        <v>-0.77349231003502361</v>
      </c>
    </row>
    <row r="59" spans="1:26" s="69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0</v>
      </c>
      <c r="E59" s="2"/>
      <c r="F59" s="6">
        <f t="shared" ref="F59:F93" si="12">IF(D$12=0,0,D59/D$12)</f>
        <v>0</v>
      </c>
      <c r="G59" s="2"/>
      <c r="H59" s="2">
        <f>SUM(OSRRefH22_6x_0)</f>
        <v>0</v>
      </c>
      <c r="I59" s="2"/>
      <c r="J59" s="6">
        <f t="shared" ref="J59:J93" si="13">IF(H$12=0,0,H59/H$12)</f>
        <v>0</v>
      </c>
      <c r="K59" s="2"/>
      <c r="L59" s="2">
        <f t="shared" ref="L59:L93" si="14">+D59-H59</f>
        <v>0</v>
      </c>
      <c r="M59" s="2"/>
      <c r="N59" s="6">
        <f t="shared" ref="N59:N93" si="15">IF(H59=0,0,L59/H59)</f>
        <v>0</v>
      </c>
      <c r="O59" s="14"/>
      <c r="P59" s="2">
        <f>SUM(OSRRefP22_6x_0)</f>
        <v>0</v>
      </c>
      <c r="Q59" s="2"/>
      <c r="R59" s="6">
        <f t="shared" ref="R59:R93" si="16">IF(P$12=0,0,P59/P$12)</f>
        <v>0</v>
      </c>
      <c r="S59" s="2"/>
      <c r="T59" s="2">
        <f>SUM(OSRRefT22_6x_0)</f>
        <v>50</v>
      </c>
      <c r="U59" s="2"/>
      <c r="V59" s="6">
        <f t="shared" ref="V59:V93" si="17">IF(T$12=0,0,T59/T$12)</f>
        <v>1.0819840991616787E-4</v>
      </c>
      <c r="W59" s="2"/>
      <c r="X59" s="2">
        <f t="shared" ref="X59:X93" si="18">+P59-T59</f>
        <v>-50</v>
      </c>
      <c r="Y59" s="2"/>
      <c r="Z59" s="6">
        <f t="shared" ref="Z59:Z93" si="19">IF(T59=0,0,X59/T59)</f>
        <v>-1</v>
      </c>
    </row>
    <row r="60" spans="1:26" s="70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7"/>
      <c r="E60" s="3"/>
      <c r="F60" s="8">
        <f t="shared" si="12"/>
        <v>0</v>
      </c>
      <c r="G60" s="3"/>
      <c r="H60" s="7"/>
      <c r="I60" s="3"/>
      <c r="J60" s="8">
        <f t="shared" si="13"/>
        <v>0</v>
      </c>
      <c r="K60" s="3"/>
      <c r="L60" s="7">
        <f t="shared" si="14"/>
        <v>0</v>
      </c>
      <c r="M60" s="3"/>
      <c r="N60" s="8">
        <f t="shared" si="15"/>
        <v>0</v>
      </c>
      <c r="O60" s="12"/>
      <c r="P60" s="7"/>
      <c r="Q60" s="3"/>
      <c r="R60" s="8">
        <f t="shared" si="16"/>
        <v>0</v>
      </c>
      <c r="S60" s="3"/>
      <c r="T60" s="7">
        <v>50</v>
      </c>
      <c r="U60" s="3"/>
      <c r="V60" s="8">
        <f t="shared" si="17"/>
        <v>1.0819840991616787E-4</v>
      </c>
      <c r="W60" s="3"/>
      <c r="X60" s="7">
        <f t="shared" si="18"/>
        <v>-50</v>
      </c>
      <c r="Y60" s="3"/>
      <c r="Z60" s="8">
        <f t="shared" si="19"/>
        <v>-1</v>
      </c>
    </row>
    <row r="61" spans="1:26" s="69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0</v>
      </c>
      <c r="E61" s="2"/>
      <c r="F61" s="6">
        <f t="shared" si="12"/>
        <v>0</v>
      </c>
      <c r="G61" s="2"/>
      <c r="H61" s="2">
        <f>SUM(OSRRefH22_7x_0)</f>
        <v>176</v>
      </c>
      <c r="I61" s="2"/>
      <c r="J61" s="6">
        <f t="shared" si="13"/>
        <v>2.0932694251834584E-3</v>
      </c>
      <c r="K61" s="2"/>
      <c r="L61" s="2">
        <f t="shared" si="14"/>
        <v>-176</v>
      </c>
      <c r="M61" s="2"/>
      <c r="N61" s="6">
        <f t="shared" si="15"/>
        <v>-1</v>
      </c>
      <c r="O61" s="14"/>
      <c r="P61" s="2">
        <f>SUM(OSRRefP22_7x_0)</f>
        <v>30</v>
      </c>
      <c r="Q61" s="2"/>
      <c r="R61" s="6">
        <f t="shared" si="16"/>
        <v>7.2896101866373479E-5</v>
      </c>
      <c r="S61" s="2"/>
      <c r="T61" s="2">
        <f>SUM(OSRRefT22_7x_0)</f>
        <v>1760</v>
      </c>
      <c r="U61" s="2"/>
      <c r="V61" s="6">
        <f t="shared" si="17"/>
        <v>3.8085840290491089E-3</v>
      </c>
      <c r="W61" s="2"/>
      <c r="X61" s="2">
        <f t="shared" si="18"/>
        <v>-1730</v>
      </c>
      <c r="Y61" s="2"/>
      <c r="Z61" s="6">
        <f t="shared" si="19"/>
        <v>-0.98295454545454541</v>
      </c>
    </row>
    <row r="62" spans="1:26" s="70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7"/>
      <c r="E62" s="3"/>
      <c r="F62" s="8">
        <f t="shared" si="12"/>
        <v>0</v>
      </c>
      <c r="G62" s="3"/>
      <c r="H62" s="7">
        <v>176</v>
      </c>
      <c r="I62" s="3"/>
      <c r="J62" s="8">
        <f t="shared" si="13"/>
        <v>2.0932694251834584E-3</v>
      </c>
      <c r="K62" s="3"/>
      <c r="L62" s="7">
        <f t="shared" si="14"/>
        <v>-176</v>
      </c>
      <c r="M62" s="3"/>
      <c r="N62" s="8">
        <f t="shared" si="15"/>
        <v>-1</v>
      </c>
      <c r="O62" s="12"/>
      <c r="P62" s="7">
        <v>30</v>
      </c>
      <c r="Q62" s="3"/>
      <c r="R62" s="8">
        <f t="shared" si="16"/>
        <v>7.2896101866373479E-5</v>
      </c>
      <c r="S62" s="3"/>
      <c r="T62" s="7">
        <v>1760</v>
      </c>
      <c r="U62" s="3"/>
      <c r="V62" s="8">
        <f t="shared" si="17"/>
        <v>3.8085840290491089E-3</v>
      </c>
      <c r="W62" s="3"/>
      <c r="X62" s="7">
        <f t="shared" si="18"/>
        <v>-1730</v>
      </c>
      <c r="Y62" s="3"/>
      <c r="Z62" s="8">
        <f t="shared" si="19"/>
        <v>-0.98295454545454541</v>
      </c>
    </row>
    <row r="63" spans="1:26" s="69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0</v>
      </c>
      <c r="E63" s="2"/>
      <c r="F63" s="6">
        <f t="shared" si="12"/>
        <v>0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0</v>
      </c>
      <c r="M63" s="2"/>
      <c r="N63" s="6">
        <f t="shared" si="15"/>
        <v>0</v>
      </c>
      <c r="O63" s="14"/>
      <c r="P63" s="2">
        <f>SUM(OSRRefP22_8x_0)</f>
        <v>3761.91</v>
      </c>
      <c r="Q63" s="2"/>
      <c r="R63" s="6">
        <f t="shared" si="16"/>
        <v>9.1409524857376332E-3</v>
      </c>
      <c r="S63" s="2"/>
      <c r="T63" s="2">
        <f>SUM(OSRRefT22_8x_0)</f>
        <v>1210</v>
      </c>
      <c r="U63" s="2"/>
      <c r="V63" s="6">
        <f t="shared" si="17"/>
        <v>2.6184015199712625E-3</v>
      </c>
      <c r="W63" s="2"/>
      <c r="X63" s="2">
        <f t="shared" si="18"/>
        <v>2551.91</v>
      </c>
      <c r="Y63" s="2"/>
      <c r="Z63" s="6">
        <f t="shared" si="19"/>
        <v>2.1090165289256197</v>
      </c>
    </row>
    <row r="64" spans="1:26" s="70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7"/>
      <c r="E64" s="3"/>
      <c r="F64" s="8">
        <f t="shared" si="12"/>
        <v>0</v>
      </c>
      <c r="G64" s="3"/>
      <c r="H64" s="7"/>
      <c r="I64" s="3"/>
      <c r="J64" s="8">
        <f t="shared" si="13"/>
        <v>0</v>
      </c>
      <c r="K64" s="3"/>
      <c r="L64" s="7">
        <f t="shared" si="14"/>
        <v>0</v>
      </c>
      <c r="M64" s="3"/>
      <c r="N64" s="8">
        <f t="shared" si="15"/>
        <v>0</v>
      </c>
      <c r="O64" s="12"/>
      <c r="P64" s="7">
        <v>3761.91</v>
      </c>
      <c r="Q64" s="3"/>
      <c r="R64" s="8">
        <f t="shared" si="16"/>
        <v>9.1409524857376332E-3</v>
      </c>
      <c r="S64" s="3"/>
      <c r="T64" s="7">
        <v>1210</v>
      </c>
      <c r="U64" s="3"/>
      <c r="V64" s="8">
        <f t="shared" si="17"/>
        <v>2.6184015199712625E-3</v>
      </c>
      <c r="W64" s="3"/>
      <c r="X64" s="7">
        <f t="shared" si="18"/>
        <v>2551.91</v>
      </c>
      <c r="Y64" s="3"/>
      <c r="Z64" s="8">
        <f t="shared" si="19"/>
        <v>2.1090165289256197</v>
      </c>
    </row>
    <row r="65" spans="1:26" s="69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3.1980125387288394E-3</v>
      </c>
      <c r="G65" s="2"/>
      <c r="H65" s="2">
        <f>SUM(OSRRefH22_9x_0)</f>
        <v>330</v>
      </c>
      <c r="I65" s="2"/>
      <c r="J65" s="6">
        <f t="shared" si="13"/>
        <v>3.9248801722189842E-3</v>
      </c>
      <c r="K65" s="2"/>
      <c r="L65" s="2">
        <f t="shared" si="14"/>
        <v>1.0099999999999909</v>
      </c>
      <c r="M65" s="2"/>
      <c r="N65" s="6">
        <f t="shared" si="15"/>
        <v>3.0606060606060332E-3</v>
      </c>
      <c r="O65" s="14"/>
      <c r="P65" s="2">
        <f>SUM(OSRRefP22_9x_0)</f>
        <v>3310.1</v>
      </c>
      <c r="Q65" s="2"/>
      <c r="R65" s="6">
        <f t="shared" si="16"/>
        <v>8.0431128929294281E-3</v>
      </c>
      <c r="S65" s="2"/>
      <c r="T65" s="2">
        <f>SUM(OSRRefT22_9x_0)</f>
        <v>3300</v>
      </c>
      <c r="U65" s="2"/>
      <c r="V65" s="6">
        <f t="shared" si="17"/>
        <v>7.1410950544670794E-3</v>
      </c>
      <c r="W65" s="2"/>
      <c r="X65" s="2">
        <f t="shared" si="18"/>
        <v>10.099999999999909</v>
      </c>
      <c r="Y65" s="2"/>
      <c r="Z65" s="6">
        <f t="shared" si="19"/>
        <v>3.0606060606060332E-3</v>
      </c>
    </row>
    <row r="66" spans="1:26" s="70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7">
        <v>331.01</v>
      </c>
      <c r="E66" s="3"/>
      <c r="F66" s="8">
        <f t="shared" si="12"/>
        <v>3.1980125387288394E-3</v>
      </c>
      <c r="G66" s="3"/>
      <c r="H66" s="7">
        <v>330</v>
      </c>
      <c r="I66" s="3"/>
      <c r="J66" s="8">
        <f t="shared" si="13"/>
        <v>3.9248801722189842E-3</v>
      </c>
      <c r="K66" s="3"/>
      <c r="L66" s="7">
        <f t="shared" si="14"/>
        <v>1.0099999999999909</v>
      </c>
      <c r="M66" s="3"/>
      <c r="N66" s="8">
        <f t="shared" si="15"/>
        <v>3.0606060606060332E-3</v>
      </c>
      <c r="O66" s="12"/>
      <c r="P66" s="7">
        <v>3310.1</v>
      </c>
      <c r="Q66" s="3"/>
      <c r="R66" s="8">
        <f t="shared" si="16"/>
        <v>8.0431128929294281E-3</v>
      </c>
      <c r="S66" s="3"/>
      <c r="T66" s="7">
        <v>3300</v>
      </c>
      <c r="U66" s="3"/>
      <c r="V66" s="8">
        <f t="shared" si="17"/>
        <v>7.1410950544670794E-3</v>
      </c>
      <c r="W66" s="3"/>
      <c r="X66" s="7">
        <f t="shared" si="18"/>
        <v>10.099999999999909</v>
      </c>
      <c r="Y66" s="3"/>
      <c r="Z66" s="8">
        <f t="shared" si="19"/>
        <v>3.0606060606060332E-3</v>
      </c>
    </row>
    <row r="67" spans="1:26" s="69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3031</v>
      </c>
      <c r="E67" s="2"/>
      <c r="F67" s="6">
        <f t="shared" si="12"/>
        <v>2.9283634950264682E-2</v>
      </c>
      <c r="G67" s="2"/>
      <c r="H67" s="2">
        <f>SUM(OSRRefH22_10x_0)</f>
        <v>3905</v>
      </c>
      <c r="I67" s="2"/>
      <c r="J67" s="6">
        <f t="shared" si="13"/>
        <v>4.6444415371257985E-2</v>
      </c>
      <c r="K67" s="2"/>
      <c r="L67" s="2">
        <f t="shared" si="14"/>
        <v>-874</v>
      </c>
      <c r="M67" s="2"/>
      <c r="N67" s="6">
        <f t="shared" si="15"/>
        <v>-0.2238156209987196</v>
      </c>
      <c r="O67" s="14"/>
      <c r="P67" s="2">
        <f>SUM(OSRRefP22_10x_0)</f>
        <v>37900</v>
      </c>
      <c r="Q67" s="2"/>
      <c r="R67" s="6">
        <f t="shared" si="16"/>
        <v>9.2092075357851827E-2</v>
      </c>
      <c r="S67" s="2"/>
      <c r="T67" s="2">
        <f>SUM(OSRRefT22_10x_0)</f>
        <v>39050</v>
      </c>
      <c r="U67" s="2"/>
      <c r="V67" s="6">
        <f t="shared" si="17"/>
        <v>8.4502958144527102E-2</v>
      </c>
      <c r="W67" s="2"/>
      <c r="X67" s="2">
        <f t="shared" si="18"/>
        <v>-1150</v>
      </c>
      <c r="Y67" s="2"/>
      <c r="Z67" s="6">
        <f t="shared" si="19"/>
        <v>-2.9449423815621E-2</v>
      </c>
    </row>
    <row r="68" spans="1:26" s="70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7">
        <v>3031</v>
      </c>
      <c r="E68" s="3"/>
      <c r="F68" s="8">
        <f t="shared" si="12"/>
        <v>2.9283634950264682E-2</v>
      </c>
      <c r="G68" s="3"/>
      <c r="H68" s="7">
        <v>3905</v>
      </c>
      <c r="I68" s="3"/>
      <c r="J68" s="8">
        <f t="shared" si="13"/>
        <v>4.6444415371257985E-2</v>
      </c>
      <c r="K68" s="3"/>
      <c r="L68" s="7">
        <f t="shared" si="14"/>
        <v>-874</v>
      </c>
      <c r="M68" s="3"/>
      <c r="N68" s="8">
        <f t="shared" si="15"/>
        <v>-0.2238156209987196</v>
      </c>
      <c r="O68" s="12"/>
      <c r="P68" s="7">
        <v>37900</v>
      </c>
      <c r="Q68" s="3"/>
      <c r="R68" s="8">
        <f t="shared" si="16"/>
        <v>9.2092075357851827E-2</v>
      </c>
      <c r="S68" s="3"/>
      <c r="T68" s="7">
        <v>39050</v>
      </c>
      <c r="U68" s="3"/>
      <c r="V68" s="8">
        <f t="shared" si="17"/>
        <v>8.4502958144527102E-2</v>
      </c>
      <c r="W68" s="3"/>
      <c r="X68" s="7">
        <f t="shared" si="18"/>
        <v>-1150</v>
      </c>
      <c r="Y68" s="3"/>
      <c r="Z68" s="8">
        <f t="shared" si="19"/>
        <v>-2.9449423815621E-2</v>
      </c>
    </row>
    <row r="69" spans="1:26" s="69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7.87</v>
      </c>
      <c r="E69" s="2"/>
      <c r="F69" s="6">
        <f t="shared" si="12"/>
        <v>7.6035040270070291E-5</v>
      </c>
      <c r="G69" s="2"/>
      <c r="H69" s="2">
        <f>SUM(OSRRefH22_11x_0)</f>
        <v>365</v>
      </c>
      <c r="I69" s="2"/>
      <c r="J69" s="6">
        <f t="shared" si="13"/>
        <v>4.3411553419997863E-3</v>
      </c>
      <c r="K69" s="2"/>
      <c r="L69" s="2">
        <f t="shared" si="14"/>
        <v>-357.13</v>
      </c>
      <c r="M69" s="2"/>
      <c r="N69" s="6">
        <f t="shared" si="15"/>
        <v>-0.97843835616438357</v>
      </c>
      <c r="O69" s="14"/>
      <c r="P69" s="2">
        <f>SUM(OSRRefP22_11x_0)</f>
        <v>6658.3899999999994</v>
      </c>
      <c r="Q69" s="2"/>
      <c r="R69" s="6">
        <f t="shared" si="16"/>
        <v>1.6179022523534748E-2</v>
      </c>
      <c r="S69" s="2"/>
      <c r="T69" s="2">
        <f>SUM(OSRRefT22_11x_0)</f>
        <v>7677</v>
      </c>
      <c r="U69" s="2"/>
      <c r="V69" s="6">
        <f t="shared" si="17"/>
        <v>1.6612783858528414E-2</v>
      </c>
      <c r="W69" s="2"/>
      <c r="X69" s="2">
        <f t="shared" si="18"/>
        <v>-1018.6100000000006</v>
      </c>
      <c r="Y69" s="2"/>
      <c r="Z69" s="6">
        <f t="shared" si="19"/>
        <v>-0.13268333984629421</v>
      </c>
    </row>
    <row r="70" spans="1:26" s="70" customFormat="1" ht="15" hidden="1" customHeight="1" outlineLevel="2" x14ac:dyDescent="0.3">
      <c r="A70" s="26"/>
      <c r="B70" s="12" t="str">
        <f>CONCATENATE("          ","6371"," - ","COMPUTER SOFTWARE MAINTENANCE")</f>
        <v xml:space="preserve">          6371 - COMPUTER SOFTWARE MAINTENANCE</v>
      </c>
      <c r="C70" s="12"/>
      <c r="D70" s="7"/>
      <c r="E70" s="3"/>
      <c r="F70" s="8">
        <f t="shared" si="12"/>
        <v>0</v>
      </c>
      <c r="G70" s="3"/>
      <c r="H70" s="7"/>
      <c r="I70" s="3"/>
      <c r="J70" s="8">
        <f t="shared" si="13"/>
        <v>0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/>
      <c r="Q70" s="3"/>
      <c r="R70" s="8">
        <f t="shared" si="16"/>
        <v>0</v>
      </c>
      <c r="S70" s="3"/>
      <c r="T70" s="7">
        <v>2623</v>
      </c>
      <c r="U70" s="3"/>
      <c r="V70" s="8">
        <f t="shared" si="17"/>
        <v>5.6760885842021668E-3</v>
      </c>
      <c r="W70" s="3"/>
      <c r="X70" s="7">
        <f t="shared" si="18"/>
        <v>-2623</v>
      </c>
      <c r="Y70" s="3"/>
      <c r="Z70" s="8">
        <f t="shared" si="19"/>
        <v>-1</v>
      </c>
    </row>
    <row r="71" spans="1:26" s="70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7"/>
      <c r="E71" s="3"/>
      <c r="F71" s="8">
        <f t="shared" si="12"/>
        <v>0</v>
      </c>
      <c r="G71" s="3"/>
      <c r="H71" s="7">
        <v>150</v>
      </c>
      <c r="I71" s="3"/>
      <c r="J71" s="8">
        <f t="shared" si="13"/>
        <v>1.7840364419177202E-3</v>
      </c>
      <c r="K71" s="3"/>
      <c r="L71" s="7">
        <f t="shared" si="14"/>
        <v>-150</v>
      </c>
      <c r="M71" s="3"/>
      <c r="N71" s="8">
        <f t="shared" si="15"/>
        <v>-1</v>
      </c>
      <c r="O71" s="12"/>
      <c r="P71" s="7">
        <v>1029.2</v>
      </c>
      <c r="Q71" s="3"/>
      <c r="R71" s="8">
        <f t="shared" si="16"/>
        <v>2.5008222680290527E-3</v>
      </c>
      <c r="S71" s="3"/>
      <c r="T71" s="7">
        <v>1274</v>
      </c>
      <c r="U71" s="3"/>
      <c r="V71" s="8">
        <f t="shared" si="17"/>
        <v>2.7568954846639575E-3</v>
      </c>
      <c r="W71" s="3"/>
      <c r="X71" s="7">
        <f t="shared" si="18"/>
        <v>-244.79999999999995</v>
      </c>
      <c r="Y71" s="3"/>
      <c r="Z71" s="8">
        <f t="shared" si="19"/>
        <v>-0.19215070643642068</v>
      </c>
    </row>
    <row r="72" spans="1:26" s="70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7">
        <v>7.87</v>
      </c>
      <c r="E72" s="3"/>
      <c r="F72" s="8">
        <f t="shared" si="12"/>
        <v>7.6035040270070291E-5</v>
      </c>
      <c r="G72" s="3"/>
      <c r="H72" s="7">
        <v>215</v>
      </c>
      <c r="I72" s="3"/>
      <c r="J72" s="8">
        <f t="shared" si="13"/>
        <v>2.5571189000820659E-3</v>
      </c>
      <c r="K72" s="3"/>
      <c r="L72" s="7">
        <f t="shared" si="14"/>
        <v>-207.13</v>
      </c>
      <c r="M72" s="3"/>
      <c r="N72" s="8">
        <f t="shared" si="15"/>
        <v>-0.96339534883720923</v>
      </c>
      <c r="O72" s="12"/>
      <c r="P72" s="7">
        <v>5629.19</v>
      </c>
      <c r="Q72" s="3"/>
      <c r="R72" s="8">
        <f t="shared" si="16"/>
        <v>1.3678200255505696E-2</v>
      </c>
      <c r="S72" s="3"/>
      <c r="T72" s="7">
        <v>3780</v>
      </c>
      <c r="U72" s="3"/>
      <c r="V72" s="8">
        <f t="shared" si="17"/>
        <v>8.1797997896622919E-3</v>
      </c>
      <c r="W72" s="3"/>
      <c r="X72" s="7">
        <f t="shared" si="18"/>
        <v>1849.1899999999996</v>
      </c>
      <c r="Y72" s="3"/>
      <c r="Z72" s="8">
        <f t="shared" si="19"/>
        <v>0.48920370370370359</v>
      </c>
    </row>
    <row r="73" spans="1:26" s="69" customFormat="1" ht="15" customHeight="1" outlineLevel="1" collapsed="1" x14ac:dyDescent="0.3">
      <c r="A73" s="25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2">
        <f>SUM(OSRRefD22_12x_0)</f>
        <v>4367.51</v>
      </c>
      <c r="E73" s="2"/>
      <c r="F73" s="6">
        <f t="shared" si="12"/>
        <v>4.2196162481567309E-2</v>
      </c>
      <c r="G73" s="2"/>
      <c r="H73" s="2">
        <f>SUM(OSRRefH22_12x_0)</f>
        <v>2234</v>
      </c>
      <c r="I73" s="2"/>
      <c r="J73" s="6">
        <f t="shared" si="13"/>
        <v>2.6570249408294579E-2</v>
      </c>
      <c r="K73" s="2"/>
      <c r="L73" s="2">
        <f t="shared" si="14"/>
        <v>2133.5100000000002</v>
      </c>
      <c r="M73" s="2"/>
      <c r="N73" s="6">
        <f t="shared" si="15"/>
        <v>0.95501790510295448</v>
      </c>
      <c r="O73" s="14"/>
      <c r="P73" s="2">
        <f>SUM(OSRRefP22_12x_0)</f>
        <v>4367.51</v>
      </c>
      <c r="Q73" s="2"/>
      <c r="R73" s="6">
        <f t="shared" si="16"/>
        <v>1.0612481795413494E-2</v>
      </c>
      <c r="S73" s="2"/>
      <c r="T73" s="2">
        <f>SUM(OSRRefT22_12x_0)</f>
        <v>12595</v>
      </c>
      <c r="U73" s="2"/>
      <c r="V73" s="6">
        <f t="shared" si="17"/>
        <v>2.7255179457882688E-2</v>
      </c>
      <c r="W73" s="2"/>
      <c r="X73" s="2">
        <f t="shared" si="18"/>
        <v>-8227.49</v>
      </c>
      <c r="Y73" s="2"/>
      <c r="Z73" s="6">
        <f t="shared" si="19"/>
        <v>-0.65323461691147278</v>
      </c>
    </row>
    <row r="74" spans="1:26" s="70" customFormat="1" ht="15" hidden="1" customHeight="1" outlineLevel="2" x14ac:dyDescent="0.3">
      <c r="A74" s="26"/>
      <c r="B74" s="12" t="str">
        <f>CONCATENATE("          ","6254"," - ","ROYALTY &amp; COMMISSIONS")</f>
        <v xml:space="preserve">          6254 - ROYALTY &amp; COMMISSIONS</v>
      </c>
      <c r="C74" s="12"/>
      <c r="D74" s="7">
        <v>4367.51</v>
      </c>
      <c r="E74" s="3"/>
      <c r="F74" s="8">
        <f t="shared" si="12"/>
        <v>4.2196162481567309E-2</v>
      </c>
      <c r="G74" s="3"/>
      <c r="H74" s="7"/>
      <c r="I74" s="3"/>
      <c r="J74" s="8">
        <f t="shared" si="13"/>
        <v>0</v>
      </c>
      <c r="K74" s="3"/>
      <c r="L74" s="7">
        <f t="shared" si="14"/>
        <v>4367.51</v>
      </c>
      <c r="M74" s="3"/>
      <c r="N74" s="8">
        <f t="shared" si="15"/>
        <v>0</v>
      </c>
      <c r="O74" s="12"/>
      <c r="P74" s="7">
        <v>4367.51</v>
      </c>
      <c r="Q74" s="3"/>
      <c r="R74" s="8">
        <f t="shared" si="16"/>
        <v>1.0612481795413494E-2</v>
      </c>
      <c r="S74" s="3"/>
      <c r="T74" s="7"/>
      <c r="U74" s="3"/>
      <c r="V74" s="8">
        <f t="shared" si="17"/>
        <v>0</v>
      </c>
      <c r="W74" s="3"/>
      <c r="X74" s="7">
        <f t="shared" si="18"/>
        <v>4367.51</v>
      </c>
      <c r="Y74" s="3"/>
      <c r="Z74" s="8">
        <f t="shared" si="19"/>
        <v>0</v>
      </c>
    </row>
    <row r="75" spans="1:26" s="70" customFormat="1" ht="15" hidden="1" customHeight="1" outlineLevel="2" x14ac:dyDescent="0.3">
      <c r="A75" s="26"/>
      <c r="B75" s="12" t="str">
        <f>CONCATENATE("          ","6259"," - ","ROYALTY &amp; COMMISSIONS")</f>
        <v xml:space="preserve">          6259 - ROYALTY &amp; COMMISSIONS</v>
      </c>
      <c r="C75" s="12"/>
      <c r="D75" s="7"/>
      <c r="E75" s="3"/>
      <c r="F75" s="8">
        <f t="shared" si="12"/>
        <v>0</v>
      </c>
      <c r="G75" s="3"/>
      <c r="H75" s="7">
        <v>2234</v>
      </c>
      <c r="I75" s="3"/>
      <c r="J75" s="8">
        <f t="shared" si="13"/>
        <v>2.6570249408294579E-2</v>
      </c>
      <c r="K75" s="3"/>
      <c r="L75" s="7">
        <f t="shared" si="14"/>
        <v>-2234</v>
      </c>
      <c r="M75" s="3"/>
      <c r="N75" s="8">
        <f t="shared" si="15"/>
        <v>-1</v>
      </c>
      <c r="O75" s="12"/>
      <c r="P75" s="7"/>
      <c r="Q75" s="3"/>
      <c r="R75" s="8">
        <f t="shared" si="16"/>
        <v>0</v>
      </c>
      <c r="S75" s="3"/>
      <c r="T75" s="7">
        <v>12595</v>
      </c>
      <c r="U75" s="3"/>
      <c r="V75" s="8">
        <f t="shared" si="17"/>
        <v>2.7255179457882688E-2</v>
      </c>
      <c r="W75" s="3"/>
      <c r="X75" s="7">
        <f t="shared" si="18"/>
        <v>-12595</v>
      </c>
      <c r="Y75" s="3"/>
      <c r="Z75" s="8">
        <f t="shared" si="19"/>
        <v>-1</v>
      </c>
    </row>
    <row r="76" spans="1:26" s="69" customFormat="1" ht="15" customHeight="1" outlineLevel="1" collapsed="1" x14ac:dyDescent="0.3">
      <c r="A76" s="25"/>
      <c r="B76" s="14" t="str">
        <f>CONCATENATE("     ","Services                                          ")</f>
        <v xml:space="preserve">     Services                                          </v>
      </c>
      <c r="C76" s="14"/>
      <c r="D76" s="2">
        <f>SUM(OSRRefD22_13x_0)</f>
        <v>913.78</v>
      </c>
      <c r="E76" s="2"/>
      <c r="F76" s="6">
        <f t="shared" si="12"/>
        <v>8.8283734559065855E-3</v>
      </c>
      <c r="G76" s="2"/>
      <c r="H76" s="2">
        <f>SUM(OSRRefH22_13x_0)</f>
        <v>292</v>
      </c>
      <c r="I76" s="2"/>
      <c r="J76" s="6">
        <f t="shared" si="13"/>
        <v>3.4729242735998286E-3</v>
      </c>
      <c r="K76" s="2"/>
      <c r="L76" s="2">
        <f t="shared" si="14"/>
        <v>621.78</v>
      </c>
      <c r="M76" s="2"/>
      <c r="N76" s="6">
        <f t="shared" si="15"/>
        <v>2.1293835616438357</v>
      </c>
      <c r="O76" s="14"/>
      <c r="P76" s="2">
        <f>SUM(OSRRefP22_13x_0)</f>
        <v>12416.800000000001</v>
      </c>
      <c r="Q76" s="2"/>
      <c r="R76" s="6">
        <f t="shared" si="16"/>
        <v>3.017121058847954E-2</v>
      </c>
      <c r="S76" s="2"/>
      <c r="T76" s="2">
        <f>SUM(OSRRefT22_13x_0)</f>
        <v>2637</v>
      </c>
      <c r="U76" s="2"/>
      <c r="V76" s="6">
        <f t="shared" si="17"/>
        <v>5.7063841389786932E-3</v>
      </c>
      <c r="W76" s="2"/>
      <c r="X76" s="2">
        <f t="shared" si="18"/>
        <v>9779.8000000000011</v>
      </c>
      <c r="Y76" s="2"/>
      <c r="Z76" s="6">
        <f t="shared" si="19"/>
        <v>3.7086841107318929</v>
      </c>
    </row>
    <row r="77" spans="1:26" s="70" customFormat="1" ht="15" hidden="1" customHeight="1" outlineLevel="2" x14ac:dyDescent="0.3">
      <c r="A77" s="26"/>
      <c r="B77" s="12" t="str">
        <f>CONCATENATE("          ","6282"," - ","JANITORIAL/EXTERMINATOR EXPENS")</f>
        <v xml:space="preserve">          6282 - JANITORIAL/EXTERMINATOR EXPENS</v>
      </c>
      <c r="C77" s="12"/>
      <c r="D77" s="7">
        <v>651.35</v>
      </c>
      <c r="E77" s="3"/>
      <c r="F77" s="8">
        <f t="shared" si="12"/>
        <v>6.2929381804206208E-3</v>
      </c>
      <c r="G77" s="3"/>
      <c r="H77" s="7">
        <v>258</v>
      </c>
      <c r="I77" s="3"/>
      <c r="J77" s="8">
        <f t="shared" si="13"/>
        <v>3.0685426800984789E-3</v>
      </c>
      <c r="K77" s="3"/>
      <c r="L77" s="7">
        <f t="shared" si="14"/>
        <v>393.35</v>
      </c>
      <c r="M77" s="3"/>
      <c r="N77" s="8">
        <f t="shared" si="15"/>
        <v>1.5246124031007753</v>
      </c>
      <c r="O77" s="12"/>
      <c r="P77" s="7">
        <v>3623.2</v>
      </c>
      <c r="Q77" s="3"/>
      <c r="R77" s="8">
        <f t="shared" si="16"/>
        <v>8.8039052094081444E-3</v>
      </c>
      <c r="S77" s="3"/>
      <c r="T77" s="7">
        <v>2322</v>
      </c>
      <c r="U77" s="3"/>
      <c r="V77" s="8">
        <f t="shared" si="17"/>
        <v>5.0247341565068356E-3</v>
      </c>
      <c r="W77" s="3"/>
      <c r="X77" s="7">
        <f t="shared" si="18"/>
        <v>1301.1999999999998</v>
      </c>
      <c r="Y77" s="3"/>
      <c r="Z77" s="8">
        <f t="shared" si="19"/>
        <v>0.56037898363479755</v>
      </c>
    </row>
    <row r="78" spans="1:26" s="70" customFormat="1" ht="15" hidden="1" customHeight="1" outlineLevel="2" x14ac:dyDescent="0.3">
      <c r="A78" s="26"/>
      <c r="B78" s="12" t="str">
        <f>CONCATENATE("          ","6285"," - ","JANITORIAL SERVICES")</f>
        <v xml:space="preserve">          6285 - JANITORIAL SERVICES</v>
      </c>
      <c r="C78" s="12"/>
      <c r="D78" s="7"/>
      <c r="E78" s="3"/>
      <c r="F78" s="8">
        <f t="shared" si="12"/>
        <v>0</v>
      </c>
      <c r="G78" s="3"/>
      <c r="H78" s="7"/>
      <c r="I78" s="3"/>
      <c r="J78" s="8">
        <f t="shared" si="13"/>
        <v>0</v>
      </c>
      <c r="K78" s="3"/>
      <c r="L78" s="7">
        <f t="shared" si="14"/>
        <v>0</v>
      </c>
      <c r="M78" s="3"/>
      <c r="N78" s="8">
        <f t="shared" si="15"/>
        <v>0</v>
      </c>
      <c r="O78" s="12"/>
      <c r="P78" s="7">
        <v>7738.84</v>
      </c>
      <c r="Q78" s="3"/>
      <c r="R78" s="8">
        <f t="shared" si="16"/>
        <v>1.880437563225219E-2</v>
      </c>
      <c r="S78" s="3"/>
      <c r="T78" s="7"/>
      <c r="U78" s="3"/>
      <c r="V78" s="8">
        <f t="shared" si="17"/>
        <v>0</v>
      </c>
      <c r="W78" s="3"/>
      <c r="X78" s="7">
        <f t="shared" si="18"/>
        <v>7738.84</v>
      </c>
      <c r="Y78" s="3"/>
      <c r="Z78" s="8">
        <f t="shared" si="19"/>
        <v>0</v>
      </c>
    </row>
    <row r="79" spans="1:26" s="70" customFormat="1" ht="15" hidden="1" customHeight="1" outlineLevel="2" x14ac:dyDescent="0.3">
      <c r="A79" s="26"/>
      <c r="B79" s="12" t="str">
        <f>CONCATENATE("          ","6286"," - ","LAUNDRY EXPENSE")</f>
        <v xml:space="preserve">          6286 - LAUNDRY EXPENSE</v>
      </c>
      <c r="C79" s="12"/>
      <c r="D79" s="7">
        <v>262.43</v>
      </c>
      <c r="E79" s="3"/>
      <c r="F79" s="8">
        <f t="shared" si="12"/>
        <v>2.5354352754859651E-3</v>
      </c>
      <c r="G79" s="3"/>
      <c r="H79" s="7">
        <v>34</v>
      </c>
      <c r="I79" s="3"/>
      <c r="J79" s="8">
        <f t="shared" si="13"/>
        <v>4.0438159350134994E-4</v>
      </c>
      <c r="K79" s="3"/>
      <c r="L79" s="7">
        <f t="shared" si="14"/>
        <v>228.43</v>
      </c>
      <c r="M79" s="3"/>
      <c r="N79" s="8">
        <f t="shared" si="15"/>
        <v>6.7185294117647061</v>
      </c>
      <c r="O79" s="12"/>
      <c r="P79" s="7">
        <v>1054.76</v>
      </c>
      <c r="Q79" s="3"/>
      <c r="R79" s="8">
        <f t="shared" si="16"/>
        <v>2.5629297468192026E-3</v>
      </c>
      <c r="S79" s="3"/>
      <c r="T79" s="7">
        <v>315</v>
      </c>
      <c r="U79" s="3"/>
      <c r="V79" s="8">
        <f t="shared" si="17"/>
        <v>6.8164998247185755E-4</v>
      </c>
      <c r="W79" s="3"/>
      <c r="X79" s="7">
        <f t="shared" si="18"/>
        <v>739.76</v>
      </c>
      <c r="Y79" s="3"/>
      <c r="Z79" s="8">
        <f t="shared" si="19"/>
        <v>2.3484444444444446</v>
      </c>
    </row>
    <row r="80" spans="1:26" s="69" customFormat="1" ht="15" customHeight="1" outlineLevel="1" collapsed="1" x14ac:dyDescent="0.3">
      <c r="A80" s="25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SUM(OSRRefD22_14x_0)</f>
        <v>-579.87</v>
      </c>
      <c r="E80" s="2"/>
      <c r="F80" s="6">
        <f t="shared" si="12"/>
        <v>-5.6023429226690798E-3</v>
      </c>
      <c r="G80" s="2"/>
      <c r="H80" s="2">
        <f>SUM(OSRRefH22_14x_0)</f>
        <v>1550</v>
      </c>
      <c r="I80" s="2"/>
      <c r="J80" s="6">
        <f t="shared" si="13"/>
        <v>1.8435043233149775E-2</v>
      </c>
      <c r="K80" s="2"/>
      <c r="L80" s="2">
        <f t="shared" si="14"/>
        <v>-2129.87</v>
      </c>
      <c r="M80" s="2"/>
      <c r="N80" s="6">
        <f t="shared" si="15"/>
        <v>-1.3741096774193549</v>
      </c>
      <c r="O80" s="14"/>
      <c r="P80" s="2">
        <f>SUM(OSRRefP22_14x_0)</f>
        <v>5652.9500000000007</v>
      </c>
      <c r="Q80" s="2"/>
      <c r="R80" s="6">
        <f t="shared" si="16"/>
        <v>1.3735933968183865E-2</v>
      </c>
      <c r="S80" s="2"/>
      <c r="T80" s="2">
        <f>SUM(OSRRefT22_14x_0)</f>
        <v>18650</v>
      </c>
      <c r="U80" s="2"/>
      <c r="V80" s="6">
        <f t="shared" si="17"/>
        <v>4.035800689873062E-2</v>
      </c>
      <c r="W80" s="2"/>
      <c r="X80" s="2">
        <f t="shared" si="18"/>
        <v>-12997.05</v>
      </c>
      <c r="Y80" s="2"/>
      <c r="Z80" s="6">
        <f t="shared" si="19"/>
        <v>-0.69689276139410183</v>
      </c>
    </row>
    <row r="81" spans="1:26" s="70" customFormat="1" ht="15" hidden="1" customHeight="1" outlineLevel="2" x14ac:dyDescent="0.3">
      <c r="A81" s="26"/>
      <c r="B81" s="12" t="str">
        <f>CONCATENATE("          ","6234"," - ","EXPENDABLE SUPPLIES &amp; EQUIPMEN")</f>
        <v xml:space="preserve">          6234 - EXPENDABLE SUPPLIES &amp; EQUIPMEN</v>
      </c>
      <c r="C81" s="12"/>
      <c r="D81" s="7"/>
      <c r="E81" s="3"/>
      <c r="F81" s="8">
        <f t="shared" si="12"/>
        <v>0</v>
      </c>
      <c r="G81" s="3"/>
      <c r="H81" s="7">
        <v>50</v>
      </c>
      <c r="I81" s="3"/>
      <c r="J81" s="8">
        <f t="shared" si="13"/>
        <v>5.9467881397257344E-4</v>
      </c>
      <c r="K81" s="3"/>
      <c r="L81" s="7">
        <f t="shared" si="14"/>
        <v>-50</v>
      </c>
      <c r="M81" s="3"/>
      <c r="N81" s="8">
        <f t="shared" si="15"/>
        <v>-1</v>
      </c>
      <c r="O81" s="12"/>
      <c r="P81" s="7">
        <v>1194.8900000000001</v>
      </c>
      <c r="Q81" s="3"/>
      <c r="R81" s="8">
        <f t="shared" si="16"/>
        <v>2.9034274386370335E-3</v>
      </c>
      <c r="S81" s="3"/>
      <c r="T81" s="7">
        <v>750</v>
      </c>
      <c r="U81" s="3"/>
      <c r="V81" s="8">
        <f t="shared" si="17"/>
        <v>1.622976148742518E-3</v>
      </c>
      <c r="W81" s="3"/>
      <c r="X81" s="7">
        <f t="shared" si="18"/>
        <v>444.8900000000001</v>
      </c>
      <c r="Y81" s="3"/>
      <c r="Z81" s="8">
        <f t="shared" si="19"/>
        <v>0.59318666666666675</v>
      </c>
    </row>
    <row r="82" spans="1:26" s="70" customFormat="1" ht="15" hidden="1" customHeight="1" outlineLevel="2" x14ac:dyDescent="0.3">
      <c r="A82" s="26"/>
      <c r="B82" s="12" t="str">
        <f>CONCATENATE("          ","6235"," - ","COVID-19 EXPENSES")</f>
        <v xml:space="preserve">          6235 - COVID-19 EXPENSES</v>
      </c>
      <c r="C82" s="12"/>
      <c r="D82" s="7"/>
      <c r="E82" s="3"/>
      <c r="F82" s="8">
        <f t="shared" si="12"/>
        <v>0</v>
      </c>
      <c r="G82" s="3"/>
      <c r="H82" s="7"/>
      <c r="I82" s="3"/>
      <c r="J82" s="8">
        <f t="shared" si="13"/>
        <v>0</v>
      </c>
      <c r="K82" s="3"/>
      <c r="L82" s="7">
        <f t="shared" si="14"/>
        <v>0</v>
      </c>
      <c r="M82" s="3"/>
      <c r="N82" s="8">
        <f t="shared" si="15"/>
        <v>0</v>
      </c>
      <c r="O82" s="12"/>
      <c r="P82" s="7">
        <v>71.45</v>
      </c>
      <c r="Q82" s="3"/>
      <c r="R82" s="8">
        <f t="shared" si="16"/>
        <v>1.7361421594507949E-4</v>
      </c>
      <c r="S82" s="3"/>
      <c r="T82" s="7"/>
      <c r="U82" s="3"/>
      <c r="V82" s="8">
        <f t="shared" si="17"/>
        <v>0</v>
      </c>
      <c r="W82" s="3"/>
      <c r="X82" s="7">
        <f t="shared" si="18"/>
        <v>71.45</v>
      </c>
      <c r="Y82" s="3"/>
      <c r="Z82" s="8">
        <f t="shared" si="19"/>
        <v>0</v>
      </c>
    </row>
    <row r="83" spans="1:26" s="70" customFormat="1" ht="15" hidden="1" customHeight="1" outlineLevel="2" x14ac:dyDescent="0.3">
      <c r="A83" s="26"/>
      <c r="B83" s="12" t="str">
        <f>CONCATENATE("          ","6237"," - ","JANITORIAL SUPPLIES")</f>
        <v xml:space="preserve">          6237 - JANITORIAL SUPPLIES</v>
      </c>
      <c r="C83" s="12"/>
      <c r="D83" s="7">
        <v>50.12</v>
      </c>
      <c r="E83" s="3"/>
      <c r="F83" s="8">
        <f t="shared" si="12"/>
        <v>4.8422823612908803E-4</v>
      </c>
      <c r="G83" s="3"/>
      <c r="H83" s="7">
        <v>50</v>
      </c>
      <c r="I83" s="3"/>
      <c r="J83" s="8">
        <f t="shared" si="13"/>
        <v>5.9467881397257344E-4</v>
      </c>
      <c r="K83" s="3"/>
      <c r="L83" s="7">
        <f t="shared" si="14"/>
        <v>0.11999999999999744</v>
      </c>
      <c r="M83" s="3"/>
      <c r="N83" s="8">
        <f t="shared" si="15"/>
        <v>2.399999999999949E-3</v>
      </c>
      <c r="O83" s="12"/>
      <c r="P83" s="7">
        <v>938.81</v>
      </c>
      <c r="Q83" s="3"/>
      <c r="R83" s="8">
        <f t="shared" si="16"/>
        <v>2.2811863131056691E-3</v>
      </c>
      <c r="S83" s="3"/>
      <c r="T83" s="7">
        <v>250</v>
      </c>
      <c r="U83" s="3"/>
      <c r="V83" s="8">
        <f t="shared" si="17"/>
        <v>5.4099204958083934E-4</v>
      </c>
      <c r="W83" s="3"/>
      <c r="X83" s="7">
        <f t="shared" si="18"/>
        <v>688.81</v>
      </c>
      <c r="Y83" s="3"/>
      <c r="Z83" s="8">
        <f t="shared" si="19"/>
        <v>2.7552399999999997</v>
      </c>
    </row>
    <row r="84" spans="1:26" s="70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7"/>
      <c r="E84" s="3"/>
      <c r="F84" s="8">
        <f t="shared" si="12"/>
        <v>0</v>
      </c>
      <c r="G84" s="3"/>
      <c r="H84" s="7"/>
      <c r="I84" s="3"/>
      <c r="J84" s="8">
        <f t="shared" si="13"/>
        <v>0</v>
      </c>
      <c r="K84" s="3"/>
      <c r="L84" s="7">
        <f t="shared" si="14"/>
        <v>0</v>
      </c>
      <c r="M84" s="3"/>
      <c r="N84" s="8">
        <f t="shared" si="15"/>
        <v>0</v>
      </c>
      <c r="O84" s="12"/>
      <c r="P84" s="7">
        <v>476.56</v>
      </c>
      <c r="Q84" s="3"/>
      <c r="R84" s="8">
        <f t="shared" si="16"/>
        <v>1.1579788768479647E-3</v>
      </c>
      <c r="S84" s="3"/>
      <c r="T84" s="7"/>
      <c r="U84" s="3"/>
      <c r="V84" s="8">
        <f t="shared" si="17"/>
        <v>0</v>
      </c>
      <c r="W84" s="3"/>
      <c r="X84" s="7">
        <f t="shared" si="18"/>
        <v>476.56</v>
      </c>
      <c r="Y84" s="3"/>
      <c r="Z84" s="8">
        <f t="shared" si="19"/>
        <v>0</v>
      </c>
    </row>
    <row r="85" spans="1:26" s="70" customFormat="1" ht="15" hidden="1" customHeight="1" outlineLevel="2" x14ac:dyDescent="0.3">
      <c r="A85" s="26"/>
      <c r="B85" s="12" t="str">
        <f>CONCATENATE("          ","6243"," - ","PAPER SUPPLIES")</f>
        <v xml:space="preserve">          6243 - PAPER SUPPLIES</v>
      </c>
      <c r="C85" s="12"/>
      <c r="D85" s="7"/>
      <c r="E85" s="3"/>
      <c r="F85" s="8">
        <f t="shared" si="12"/>
        <v>0</v>
      </c>
      <c r="G85" s="3"/>
      <c r="H85" s="7">
        <v>200</v>
      </c>
      <c r="I85" s="3"/>
      <c r="J85" s="8">
        <f t="shared" si="13"/>
        <v>2.3787152558902938E-3</v>
      </c>
      <c r="K85" s="3"/>
      <c r="L85" s="7">
        <f t="shared" si="14"/>
        <v>-200</v>
      </c>
      <c r="M85" s="3"/>
      <c r="N85" s="8">
        <f t="shared" si="15"/>
        <v>-1</v>
      </c>
      <c r="O85" s="12"/>
      <c r="P85" s="7">
        <v>44.38</v>
      </c>
      <c r="Q85" s="3"/>
      <c r="R85" s="8">
        <f t="shared" si="16"/>
        <v>1.078376333609885E-4</v>
      </c>
      <c r="S85" s="3"/>
      <c r="T85" s="7">
        <v>1800</v>
      </c>
      <c r="U85" s="3"/>
      <c r="V85" s="8">
        <f t="shared" si="17"/>
        <v>3.8951427569820433E-3</v>
      </c>
      <c r="W85" s="3"/>
      <c r="X85" s="7">
        <f t="shared" si="18"/>
        <v>-1755.62</v>
      </c>
      <c r="Y85" s="3"/>
      <c r="Z85" s="8">
        <f t="shared" si="19"/>
        <v>-0.97534444444444435</v>
      </c>
    </row>
    <row r="86" spans="1:26" s="70" customFormat="1" ht="15" hidden="1" customHeight="1" outlineLevel="2" x14ac:dyDescent="0.3">
      <c r="A86" s="26"/>
      <c r="B86" s="12" t="str">
        <f>CONCATENATE("          ","6247"," - ","STORE SUPPLIES")</f>
        <v xml:space="preserve">          6247 - STORE SUPPLIES</v>
      </c>
      <c r="C86" s="12"/>
      <c r="D86" s="7">
        <v>-629.99</v>
      </c>
      <c r="E86" s="3"/>
      <c r="F86" s="8">
        <f t="shared" si="12"/>
        <v>-6.086571158798168E-3</v>
      </c>
      <c r="G86" s="3"/>
      <c r="H86" s="7">
        <v>1250</v>
      </c>
      <c r="I86" s="3"/>
      <c r="J86" s="8">
        <f t="shared" si="13"/>
        <v>1.4866970349314335E-2</v>
      </c>
      <c r="K86" s="3"/>
      <c r="L86" s="7">
        <f t="shared" si="14"/>
        <v>-1879.99</v>
      </c>
      <c r="M86" s="3"/>
      <c r="N86" s="8">
        <f t="shared" si="15"/>
        <v>-1.503992</v>
      </c>
      <c r="O86" s="12"/>
      <c r="P86" s="7">
        <v>2926.86</v>
      </c>
      <c r="Q86" s="3"/>
      <c r="R86" s="8">
        <f t="shared" si="16"/>
        <v>7.1118894902871292E-3</v>
      </c>
      <c r="S86" s="3"/>
      <c r="T86" s="7">
        <v>15850</v>
      </c>
      <c r="U86" s="3"/>
      <c r="V86" s="8">
        <f t="shared" si="17"/>
        <v>3.4298895943425216E-2</v>
      </c>
      <c r="W86" s="3"/>
      <c r="X86" s="7">
        <f t="shared" si="18"/>
        <v>-12923.14</v>
      </c>
      <c r="Y86" s="3"/>
      <c r="Z86" s="8">
        <f t="shared" si="19"/>
        <v>-0.81534006309148266</v>
      </c>
    </row>
    <row r="87" spans="1:26" s="69" customFormat="1" ht="15" customHeight="1" outlineLevel="1" collapsed="1" x14ac:dyDescent="0.3">
      <c r="A87" s="25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SUM(OSRRefD22_15x_0)</f>
        <v>403.5</v>
      </c>
      <c r="E87" s="2"/>
      <c r="F87" s="6">
        <f t="shared" si="12"/>
        <v>3.8983657876713292E-3</v>
      </c>
      <c r="G87" s="2"/>
      <c r="H87" s="2">
        <f>SUM(OSRRefH22_15x_0)</f>
        <v>178</v>
      </c>
      <c r="I87" s="2"/>
      <c r="J87" s="6">
        <f t="shared" si="13"/>
        <v>2.1170565777423613E-3</v>
      </c>
      <c r="K87" s="2"/>
      <c r="L87" s="2">
        <f t="shared" si="14"/>
        <v>225.5</v>
      </c>
      <c r="M87" s="2"/>
      <c r="N87" s="6">
        <f t="shared" si="15"/>
        <v>1.2668539325842696</v>
      </c>
      <c r="O87" s="14"/>
      <c r="P87" s="2">
        <f>SUM(OSRRefP22_15x_0)</f>
        <v>1646.5</v>
      </c>
      <c r="Q87" s="2"/>
      <c r="R87" s="6">
        <f t="shared" si="16"/>
        <v>4.0007810574327974E-3</v>
      </c>
      <c r="S87" s="2"/>
      <c r="T87" s="2">
        <f>SUM(OSRRefT22_15x_0)</f>
        <v>1780</v>
      </c>
      <c r="U87" s="2"/>
      <c r="V87" s="6">
        <f t="shared" si="17"/>
        <v>3.8518633930155763E-3</v>
      </c>
      <c r="W87" s="2"/>
      <c r="X87" s="2">
        <f t="shared" si="18"/>
        <v>-133.5</v>
      </c>
      <c r="Y87" s="2"/>
      <c r="Z87" s="6">
        <f t="shared" si="19"/>
        <v>-7.4999999999999997E-2</v>
      </c>
    </row>
    <row r="88" spans="1:26" s="70" customFormat="1" ht="15" hidden="1" customHeight="1" outlineLevel="2" x14ac:dyDescent="0.3">
      <c r="A88" s="26"/>
      <c r="B88" s="12" t="str">
        <f>CONCATENATE("          ","6303"," - ","DATA PHONE LINES")</f>
        <v xml:space="preserve">          6303 - DATA PHONE LINES</v>
      </c>
      <c r="C88" s="12"/>
      <c r="D88" s="7"/>
      <c r="E88" s="3"/>
      <c r="F88" s="8">
        <f t="shared" si="12"/>
        <v>0</v>
      </c>
      <c r="G88" s="3"/>
      <c r="H88" s="7">
        <v>50</v>
      </c>
      <c r="I88" s="3"/>
      <c r="J88" s="8">
        <f t="shared" si="13"/>
        <v>5.9467881397257344E-4</v>
      </c>
      <c r="K88" s="3"/>
      <c r="L88" s="7">
        <f t="shared" si="14"/>
        <v>-50</v>
      </c>
      <c r="M88" s="3"/>
      <c r="N88" s="8">
        <f t="shared" si="15"/>
        <v>-1</v>
      </c>
      <c r="O88" s="12"/>
      <c r="P88" s="7"/>
      <c r="Q88" s="3"/>
      <c r="R88" s="8">
        <f t="shared" si="16"/>
        <v>0</v>
      </c>
      <c r="S88" s="3"/>
      <c r="T88" s="7">
        <v>500</v>
      </c>
      <c r="U88" s="3"/>
      <c r="V88" s="8">
        <f t="shared" si="17"/>
        <v>1.0819840991616787E-3</v>
      </c>
      <c r="W88" s="3"/>
      <c r="X88" s="7">
        <f t="shared" si="18"/>
        <v>-500</v>
      </c>
      <c r="Y88" s="3"/>
      <c r="Z88" s="8">
        <f t="shared" si="19"/>
        <v>-1</v>
      </c>
    </row>
    <row r="89" spans="1:26" s="70" customFormat="1" ht="15" hidden="1" customHeight="1" outlineLevel="2" x14ac:dyDescent="0.3">
      <c r="A89" s="26"/>
      <c r="B89" s="12" t="str">
        <f>CONCATENATE("          ","6309"," - ","TELEPHONE")</f>
        <v xml:space="preserve">          6309 - TELEPHONE</v>
      </c>
      <c r="C89" s="12"/>
      <c r="D89" s="7">
        <v>403.5</v>
      </c>
      <c r="E89" s="3"/>
      <c r="F89" s="8">
        <f t="shared" si="12"/>
        <v>3.8983657876713292E-3</v>
      </c>
      <c r="G89" s="3"/>
      <c r="H89" s="7">
        <v>128</v>
      </c>
      <c r="I89" s="3"/>
      <c r="J89" s="8">
        <f t="shared" si="13"/>
        <v>1.522377763769788E-3</v>
      </c>
      <c r="K89" s="3"/>
      <c r="L89" s="7">
        <f t="shared" si="14"/>
        <v>275.5</v>
      </c>
      <c r="M89" s="3"/>
      <c r="N89" s="8">
        <f t="shared" si="15"/>
        <v>2.15234375</v>
      </c>
      <c r="O89" s="12"/>
      <c r="P89" s="7">
        <v>1646.5</v>
      </c>
      <c r="Q89" s="3"/>
      <c r="R89" s="8">
        <f t="shared" si="16"/>
        <v>4.0007810574327974E-3</v>
      </c>
      <c r="S89" s="3"/>
      <c r="T89" s="7">
        <v>1280</v>
      </c>
      <c r="U89" s="3"/>
      <c r="V89" s="8">
        <f t="shared" si="17"/>
        <v>2.7698792938538976E-3</v>
      </c>
      <c r="W89" s="3"/>
      <c r="X89" s="7">
        <f t="shared" si="18"/>
        <v>366.5</v>
      </c>
      <c r="Y89" s="3"/>
      <c r="Z89" s="8">
        <f t="shared" si="19"/>
        <v>0.28632812499999999</v>
      </c>
    </row>
    <row r="90" spans="1:26" s="69" customFormat="1" ht="15" customHeight="1" outlineLevel="1" collapsed="1" x14ac:dyDescent="0.3">
      <c r="A90" s="25"/>
      <c r="B90" s="14" t="str">
        <f>CONCATENATE("     ","Training                                          ")</f>
        <v xml:space="preserve">     Training                                          </v>
      </c>
      <c r="C90" s="14"/>
      <c r="D90" s="2">
        <f>SUM(OSRRefD22_16x_0)</f>
        <v>0</v>
      </c>
      <c r="E90" s="2"/>
      <c r="F90" s="6">
        <f t="shared" si="12"/>
        <v>0</v>
      </c>
      <c r="G90" s="2"/>
      <c r="H90" s="2">
        <f>SUM(OSRRefH22_16x_0)</f>
        <v>0</v>
      </c>
      <c r="I90" s="2"/>
      <c r="J90" s="6">
        <f t="shared" si="13"/>
        <v>0</v>
      </c>
      <c r="K90" s="2"/>
      <c r="L90" s="2">
        <f t="shared" si="14"/>
        <v>0</v>
      </c>
      <c r="M90" s="2"/>
      <c r="N90" s="6">
        <f t="shared" si="15"/>
        <v>0</v>
      </c>
      <c r="O90" s="14"/>
      <c r="P90" s="2">
        <f>SUM(OSRRefP22_16x_0)</f>
        <v>320</v>
      </c>
      <c r="Q90" s="2"/>
      <c r="R90" s="6">
        <f t="shared" si="16"/>
        <v>7.7755841990798373E-4</v>
      </c>
      <c r="S90" s="2"/>
      <c r="T90" s="2">
        <f>SUM(OSRRefT22_16x_0)</f>
        <v>150</v>
      </c>
      <c r="U90" s="2"/>
      <c r="V90" s="6">
        <f t="shared" si="17"/>
        <v>3.2459522974850359E-4</v>
      </c>
      <c r="W90" s="2"/>
      <c r="X90" s="2">
        <f t="shared" si="18"/>
        <v>170</v>
      </c>
      <c r="Y90" s="2"/>
      <c r="Z90" s="6">
        <f t="shared" si="19"/>
        <v>1.1333333333333333</v>
      </c>
    </row>
    <row r="91" spans="1:26" s="70" customFormat="1" ht="15" hidden="1" customHeight="1" outlineLevel="2" x14ac:dyDescent="0.3">
      <c r="A91" s="26"/>
      <c r="B91" s="12" t="str">
        <f>CONCATENATE("          ","6376"," - ","TRAINING")</f>
        <v xml:space="preserve">          6376 - TRAINING</v>
      </c>
      <c r="C91" s="12"/>
      <c r="D91" s="7"/>
      <c r="E91" s="3"/>
      <c r="F91" s="8">
        <f t="shared" si="12"/>
        <v>0</v>
      </c>
      <c r="G91" s="3"/>
      <c r="H91" s="7"/>
      <c r="I91" s="3"/>
      <c r="J91" s="8">
        <f t="shared" si="13"/>
        <v>0</v>
      </c>
      <c r="K91" s="3"/>
      <c r="L91" s="7">
        <f t="shared" si="14"/>
        <v>0</v>
      </c>
      <c r="M91" s="3"/>
      <c r="N91" s="8">
        <f t="shared" si="15"/>
        <v>0</v>
      </c>
      <c r="O91" s="12"/>
      <c r="P91" s="7">
        <v>320</v>
      </c>
      <c r="Q91" s="3"/>
      <c r="R91" s="8">
        <f t="shared" si="16"/>
        <v>7.7755841990798373E-4</v>
      </c>
      <c r="S91" s="3"/>
      <c r="T91" s="7">
        <v>150</v>
      </c>
      <c r="U91" s="3"/>
      <c r="V91" s="8">
        <f t="shared" si="17"/>
        <v>3.2459522974850359E-4</v>
      </c>
      <c r="W91" s="3"/>
      <c r="X91" s="7">
        <f t="shared" si="18"/>
        <v>170</v>
      </c>
      <c r="Y91" s="3"/>
      <c r="Z91" s="8">
        <f t="shared" si="19"/>
        <v>1.1333333333333333</v>
      </c>
    </row>
    <row r="92" spans="1:26" s="69" customFormat="1" ht="15" customHeight="1" outlineLevel="1" collapsed="1" x14ac:dyDescent="0.3">
      <c r="A92" s="25"/>
      <c r="B92" s="14" t="str">
        <f>CONCATENATE("     ","Utilities                                         ")</f>
        <v xml:space="preserve">     Utilities                                         </v>
      </c>
      <c r="C92" s="14"/>
      <c r="D92" s="2">
        <f>SUM(OSRRefD22_17x_0)</f>
        <v>100</v>
      </c>
      <c r="E92" s="2"/>
      <c r="F92" s="6">
        <f t="shared" si="12"/>
        <v>9.6613774167814853E-4</v>
      </c>
      <c r="G92" s="2"/>
      <c r="H92" s="2">
        <f>SUM(OSRRefH22_17x_0)</f>
        <v>0</v>
      </c>
      <c r="I92" s="2"/>
      <c r="J92" s="6">
        <f t="shared" si="13"/>
        <v>0</v>
      </c>
      <c r="K92" s="2"/>
      <c r="L92" s="2">
        <f t="shared" si="14"/>
        <v>100</v>
      </c>
      <c r="M92" s="2"/>
      <c r="N92" s="6">
        <f t="shared" si="15"/>
        <v>0</v>
      </c>
      <c r="O92" s="14"/>
      <c r="P92" s="2">
        <f>SUM(OSRRefP22_17x_0)</f>
        <v>1000</v>
      </c>
      <c r="Q92" s="2"/>
      <c r="R92" s="6">
        <f t="shared" si="16"/>
        <v>2.4298700622124489E-3</v>
      </c>
      <c r="S92" s="2"/>
      <c r="T92" s="2">
        <f>SUM(OSRRefT22_17x_0)</f>
        <v>0</v>
      </c>
      <c r="U92" s="2"/>
      <c r="V92" s="6">
        <f t="shared" si="17"/>
        <v>0</v>
      </c>
      <c r="W92" s="2"/>
      <c r="X92" s="2">
        <f t="shared" si="18"/>
        <v>1000</v>
      </c>
      <c r="Y92" s="2"/>
      <c r="Z92" s="6">
        <f t="shared" si="19"/>
        <v>0</v>
      </c>
    </row>
    <row r="93" spans="1:26" s="70" customFormat="1" ht="15" hidden="1" customHeight="1" outlineLevel="2" x14ac:dyDescent="0.3">
      <c r="A93" s="26"/>
      <c r="B93" s="12" t="str">
        <f>CONCATENATE("          ","6274"," - ","UTILITIES")</f>
        <v xml:space="preserve">          6274 - UTILITIES</v>
      </c>
      <c r="C93" s="12"/>
      <c r="D93" s="7">
        <v>100</v>
      </c>
      <c r="E93" s="3"/>
      <c r="F93" s="8">
        <f t="shared" si="12"/>
        <v>9.6613774167814853E-4</v>
      </c>
      <c r="G93" s="3"/>
      <c r="H93" s="7">
        <v>0</v>
      </c>
      <c r="I93" s="3"/>
      <c r="J93" s="8">
        <f t="shared" si="13"/>
        <v>0</v>
      </c>
      <c r="K93" s="3"/>
      <c r="L93" s="7">
        <f t="shared" si="14"/>
        <v>100</v>
      </c>
      <c r="M93" s="3"/>
      <c r="N93" s="8">
        <f t="shared" si="15"/>
        <v>0</v>
      </c>
      <c r="O93" s="12"/>
      <c r="P93" s="7">
        <v>1000</v>
      </c>
      <c r="Q93" s="3"/>
      <c r="R93" s="8">
        <f t="shared" si="16"/>
        <v>2.4298700622124489E-3</v>
      </c>
      <c r="S93" s="3"/>
      <c r="T93" s="7">
        <v>0</v>
      </c>
      <c r="U93" s="3"/>
      <c r="V93" s="8">
        <f t="shared" si="17"/>
        <v>0</v>
      </c>
      <c r="W93" s="3"/>
      <c r="X93" s="7">
        <f t="shared" si="18"/>
        <v>1000</v>
      </c>
      <c r="Y93" s="3"/>
      <c r="Z93" s="8">
        <f t="shared" si="19"/>
        <v>0</v>
      </c>
    </row>
    <row r="94" spans="1:26" s="65" customFormat="1" ht="15" customHeight="1" x14ac:dyDescent="0.3">
      <c r="A94" s="35"/>
      <c r="B94" s="35"/>
      <c r="C94" s="35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5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3" customFormat="1" ht="15" customHeight="1" x14ac:dyDescent="0.3">
      <c r="A95" s="11"/>
      <c r="B95" s="28" t="s">
        <v>291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292</v>
      </c>
      <c r="C97" s="27"/>
      <c r="D97" s="21">
        <f>+D25-D27+D95</f>
        <v>-7263.1200000000244</v>
      </c>
      <c r="E97" s="15"/>
      <c r="F97" s="23">
        <f>IF(D$12=0,0,D97/D$12)</f>
        <v>-7.0171743543374174E-2</v>
      </c>
      <c r="G97" s="15"/>
      <c r="H97" s="21">
        <f>+H25-H27+H95</f>
        <v>-3464.9786031346157</v>
      </c>
      <c r="I97" s="15"/>
      <c r="J97" s="23">
        <f>IF(H$12=0,0,H97/H$12)</f>
        <v>-4.1210987323048745E-2</v>
      </c>
      <c r="K97" s="17"/>
      <c r="L97" s="21">
        <f>+D97-H97</f>
        <v>-3798.1413968654088</v>
      </c>
      <c r="M97" s="17"/>
      <c r="N97" s="23">
        <f>IF(H97=0,0,L97/H97)</f>
        <v>1.0961514721705339</v>
      </c>
      <c r="O97" s="28"/>
      <c r="P97" s="21">
        <f>+P25-P27+P95</f>
        <v>-104371.81000000006</v>
      </c>
      <c r="Q97" s="15"/>
      <c r="R97" s="23">
        <f>IF(P$12=0,0,P97/P$12)</f>
        <v>-0.25360993645792607</v>
      </c>
      <c r="S97" s="15"/>
      <c r="T97" s="21">
        <f>+T25-T27+T95</f>
        <v>-139661.96735913458</v>
      </c>
      <c r="U97" s="15"/>
      <c r="V97" s="23">
        <f>IF(T$12=0,0,T97/T$12)</f>
        <v>-0.30222405588044199</v>
      </c>
      <c r="W97" s="17"/>
      <c r="X97" s="21">
        <f>+P97-T97</f>
        <v>35290.157359134522</v>
      </c>
      <c r="Y97" s="17"/>
      <c r="Z97" s="23">
        <f>IF(T97=0,0,X97/T97)</f>
        <v>-0.25268265961331793</v>
      </c>
    </row>
    <row r="98" spans="1:26" ht="15" customHeight="1" x14ac:dyDescent="0.3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49"/>
      <c r="B99" s="11" t="s">
        <v>293</v>
      </c>
      <c r="C99" s="11"/>
      <c r="D99" s="5">
        <v>9857.59</v>
      </c>
      <c r="E99" s="5"/>
      <c r="F99" s="13">
        <f>IF(D$12=0,0,D99/D$12)</f>
        <v>9.5237897409890998E-2</v>
      </c>
      <c r="G99" s="5"/>
      <c r="H99" s="5">
        <v>10809</v>
      </c>
      <c r="I99" s="5"/>
      <c r="J99" s="13">
        <f>IF(H$12=0,0,H99/H$12)</f>
        <v>0.12855766600459093</v>
      </c>
      <c r="K99" s="5"/>
      <c r="L99" s="5">
        <f>+D99-H99</f>
        <v>-951.40999999999985</v>
      </c>
      <c r="M99" s="5"/>
      <c r="N99" s="13">
        <f>IF(H99=0,0,L99/H99)</f>
        <v>-8.8020168378203339E-2</v>
      </c>
      <c r="O99" s="11"/>
      <c r="P99" s="5">
        <v>46621.37</v>
      </c>
      <c r="Q99" s="5"/>
      <c r="R99" s="13">
        <f>IF(P$12=0,0,P99/P$12)</f>
        <v>0.11328387122232961</v>
      </c>
      <c r="S99" s="5"/>
      <c r="T99" s="5">
        <v>56846</v>
      </c>
      <c r="U99" s="5"/>
      <c r="V99" s="13">
        <f>IF(T$12=0,0,T99/T$12)</f>
        <v>0.12301293620188958</v>
      </c>
      <c r="W99" s="5"/>
      <c r="X99" s="5">
        <f>+P99-T99</f>
        <v>-10224.629999999997</v>
      </c>
      <c r="Y99" s="5"/>
      <c r="Z99" s="13">
        <f>IF(T99=0,0,X99/T99)</f>
        <v>-0.17986542588748544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294</v>
      </c>
      <c r="C101" s="27"/>
      <c r="D101" s="29">
        <f>+D97-D99</f>
        <v>-17120.710000000025</v>
      </c>
      <c r="E101" s="15"/>
      <c r="F101" s="30">
        <f>IF(D$12=0,0,D101/D$12)</f>
        <v>-0.16540964095326519</v>
      </c>
      <c r="G101" s="15"/>
      <c r="H101" s="29">
        <f>+H97-H99</f>
        <v>-14273.978603134616</v>
      </c>
      <c r="I101" s="15"/>
      <c r="J101" s="30">
        <f>IF(H$12=0,0,H101/H$12)</f>
        <v>-0.16976865332763966</v>
      </c>
      <c r="K101" s="17"/>
      <c r="L101" s="29">
        <f>D101-H101</f>
        <v>-2846.7313968654089</v>
      </c>
      <c r="M101" s="17"/>
      <c r="N101" s="30">
        <f>IF(H101=0,0,L101/H101)</f>
        <v>0.19943503321773629</v>
      </c>
      <c r="O101" s="28"/>
      <c r="P101" s="29">
        <f>+P97-P99</f>
        <v>-150993.18000000005</v>
      </c>
      <c r="Q101" s="15"/>
      <c r="R101" s="30">
        <f>IF(P$12=0,0,P101/P$12)</f>
        <v>-0.36689380768025565</v>
      </c>
      <c r="S101" s="15"/>
      <c r="T101" s="29">
        <f>+T97-T99</f>
        <v>-196507.96735913458</v>
      </c>
      <c r="U101" s="15"/>
      <c r="V101" s="30">
        <f>IF(T$12=0,0,T101/T$12)</f>
        <v>-0.42523699208233157</v>
      </c>
      <c r="W101" s="17"/>
      <c r="X101" s="29">
        <f>P101-T101</f>
        <v>45514.787359134527</v>
      </c>
      <c r="Y101" s="17"/>
      <c r="Z101" s="30">
        <f>IF(T101=0,0,X101/T101)</f>
        <v>-0.23161802531880291</v>
      </c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3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7" t="s">
        <v>297</v>
      </c>
      <c r="C104" s="27"/>
      <c r="D104" s="32">
        <f>SUM(D101:D103)</f>
        <v>-17120.710000000025</v>
      </c>
      <c r="E104" s="15"/>
      <c r="F104" s="34">
        <f>IF(D$12=0,0,D104/D$12)</f>
        <v>-0.16540964095326519</v>
      </c>
      <c r="G104" s="15"/>
      <c r="H104" s="32">
        <f>SUM(H101:H103)</f>
        <v>-14273.978603134616</v>
      </c>
      <c r="I104" s="15"/>
      <c r="J104" s="34">
        <f>IF(H$12=0,0,H104/H$12)</f>
        <v>-0.16976865332763966</v>
      </c>
      <c r="K104" s="17"/>
      <c r="L104" s="32">
        <f>+D104-H104</f>
        <v>-2846.7313968654089</v>
      </c>
      <c r="M104" s="17"/>
      <c r="N104" s="34">
        <f>IF(H104=0,0,L104/H104)</f>
        <v>0.19943503321773629</v>
      </c>
      <c r="O104" s="28"/>
      <c r="P104" s="32">
        <f>SUM(P101:P103)</f>
        <v>-150993.18000000005</v>
      </c>
      <c r="Q104" s="15"/>
      <c r="R104" s="34">
        <f>IF(P$12=0,0,P104/P$12)</f>
        <v>-0.36689380768025565</v>
      </c>
      <c r="S104" s="15"/>
      <c r="T104" s="32">
        <f>SUM(T101:T103)</f>
        <v>-196507.96735913458</v>
      </c>
      <c r="U104" s="15"/>
      <c r="V104" s="34">
        <f>IF(T$12=0,0,T104/T$12)</f>
        <v>-0.42523699208233157</v>
      </c>
      <c r="W104" s="17"/>
      <c r="X104" s="32">
        <f>+P104-T104</f>
        <v>45514.787359134527</v>
      </c>
      <c r="Y104" s="17"/>
      <c r="Z104" s="34">
        <f>IF(T104=0,0,X104/T104)</f>
        <v>-0.23161802531880291</v>
      </c>
    </row>
    <row r="105" spans="1:26" ht="15" customHeight="1" x14ac:dyDescent="0.3">
      <c r="A105" s="10"/>
      <c r="C105" s="10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6">
        <v>44694.888516550927</v>
      </c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A107" s="10"/>
      <c r="B107" s="50" t="s">
        <v>298</v>
      </c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A108" s="10"/>
      <c r="B108" s="51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5E5FF-C751-68A6-43C2-50ACCF282C61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","309"," - ","Carts")</f>
        <v>Department 309 - Carts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29619.14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29619.14</v>
      </c>
      <c r="M12" s="5"/>
      <c r="N12" s="13">
        <f>IF(H12=0,0,L12/H12)</f>
        <v>0</v>
      </c>
      <c r="O12" s="11"/>
      <c r="P12" s="5">
        <f>SUM(OSRRefP13x_0)</f>
        <v>82495.710000000006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82495.710000000006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--4280.3</f>
        <v>4280.3</v>
      </c>
      <c r="E13" s="3"/>
      <c r="F13" s="20"/>
      <c r="G13" s="3"/>
      <c r="H13" s="3"/>
      <c r="I13" s="3"/>
      <c r="J13" s="20"/>
      <c r="K13" s="3"/>
      <c r="L13" s="3">
        <f>+D13-H13</f>
        <v>4280.3</v>
      </c>
      <c r="M13" s="3"/>
      <c r="N13" s="20">
        <f>IF(H13=0,0,L13/H13)</f>
        <v>0</v>
      </c>
      <c r="O13" s="12"/>
      <c r="P13" s="3">
        <f>--13092.11</f>
        <v>13092.11</v>
      </c>
      <c r="Q13" s="3"/>
      <c r="R13" s="20"/>
      <c r="S13" s="3"/>
      <c r="T13" s="3"/>
      <c r="U13" s="3"/>
      <c r="V13" s="20"/>
      <c r="W13" s="3"/>
      <c r="X13" s="3">
        <f>+P13-T13</f>
        <v>13092.11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--25338.84</f>
        <v>25338.84</v>
      </c>
      <c r="E15" s="3"/>
      <c r="F15" s="20"/>
      <c r="G15" s="3"/>
      <c r="H15" s="3"/>
      <c r="I15" s="3"/>
      <c r="J15" s="20"/>
      <c r="K15" s="3"/>
      <c r="L15" s="3">
        <f>+D15-H15</f>
        <v>25338.84</v>
      </c>
      <c r="M15" s="3"/>
      <c r="N15" s="20">
        <f>IF(H15=0,0,L15/H15)</f>
        <v>0</v>
      </c>
      <c r="O15" s="12"/>
      <c r="P15" s="3">
        <f>--69172.11</f>
        <v>69172.11</v>
      </c>
      <c r="Q15" s="3"/>
      <c r="R15" s="20"/>
      <c r="S15" s="3"/>
      <c r="T15" s="3"/>
      <c r="U15" s="3"/>
      <c r="V15" s="20"/>
      <c r="W15" s="3"/>
      <c r="X15" s="3">
        <f>+P15-T15</f>
        <v>69172.11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/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11452.18</v>
      </c>
      <c r="E18" s="5"/>
      <c r="F18" s="13">
        <f>IF(D$12=0,0,D18/D$12)</f>
        <v>0.38664795804334634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11452.18</v>
      </c>
      <c r="M18" s="5"/>
      <c r="N18" s="13">
        <f>IF(H18=0,0,L18/H18)</f>
        <v>0</v>
      </c>
      <c r="O18" s="11"/>
      <c r="P18" s="5">
        <f>SUM(OSRRefP16x_0)</f>
        <v>36958.18</v>
      </c>
      <c r="Q18" s="5"/>
      <c r="R18" s="13">
        <f>IF(P$12=0,0,P18/P$12)</f>
        <v>0.44800123545818321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36958.18</v>
      </c>
      <c r="Y18" s="5"/>
      <c r="Z18" s="13">
        <f>IF(T18=0,0,X18/T18)</f>
        <v>0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11452.18</v>
      </c>
      <c r="E20" s="3"/>
      <c r="F20" s="20">
        <f>IF(D$12=0,0,D20/D$12)</f>
        <v>0.38664795804334634</v>
      </c>
      <c r="G20" s="3"/>
      <c r="H20" s="3"/>
      <c r="I20" s="3"/>
      <c r="J20" s="20">
        <f>IF(H$12=0,0,H20/H$12)</f>
        <v>0</v>
      </c>
      <c r="K20" s="3"/>
      <c r="L20" s="3">
        <f>+D20-H20</f>
        <v>11452.18</v>
      </c>
      <c r="M20" s="3"/>
      <c r="N20" s="20">
        <f>IF(H20=0,0,L20/H20)</f>
        <v>0</v>
      </c>
      <c r="O20" s="12"/>
      <c r="P20" s="3">
        <v>36958.18</v>
      </c>
      <c r="Q20" s="3"/>
      <c r="R20" s="20">
        <f>IF(P$12=0,0,P20/P$12)</f>
        <v>0.44800123545818321</v>
      </c>
      <c r="S20" s="3"/>
      <c r="T20" s="3"/>
      <c r="U20" s="3"/>
      <c r="V20" s="20">
        <f>IF(T$12=0,0,T20/T$12)</f>
        <v>0</v>
      </c>
      <c r="W20" s="3"/>
      <c r="X20" s="3">
        <f>+P20-T20</f>
        <v>36958.18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289</v>
      </c>
      <c r="C22" s="27"/>
      <c r="D22" s="21">
        <f>D12-D18</f>
        <v>18166.96</v>
      </c>
      <c r="E22" s="15"/>
      <c r="F22" s="23">
        <f>IF(D$12=0,0,D22/D$12)</f>
        <v>0.61335204195665372</v>
      </c>
      <c r="G22" s="15"/>
      <c r="H22" s="21">
        <f>H12-H18</f>
        <v>0</v>
      </c>
      <c r="I22" s="15"/>
      <c r="J22" s="23">
        <f>IF(H$12=0,0,H22/H$12)</f>
        <v>0</v>
      </c>
      <c r="K22" s="17"/>
      <c r="L22" s="21">
        <f>+D22-H22</f>
        <v>18166.96</v>
      </c>
      <c r="M22" s="17"/>
      <c r="N22" s="23">
        <f>IF(H22=0,0,L22/H22)</f>
        <v>0</v>
      </c>
      <c r="O22" s="28"/>
      <c r="P22" s="21">
        <f>P12-P18</f>
        <v>45537.530000000006</v>
      </c>
      <c r="Q22" s="15"/>
      <c r="R22" s="23">
        <f>IF(P$12=0,0,P22/P$12)</f>
        <v>0.55199876454181684</v>
      </c>
      <c r="S22" s="15"/>
      <c r="T22" s="21">
        <f>T12-T18</f>
        <v>0</v>
      </c>
      <c r="U22" s="15"/>
      <c r="V22" s="23">
        <f>IF(T$12=0,0,T22/T$12)</f>
        <v>0</v>
      </c>
      <c r="W22" s="17"/>
      <c r="X22" s="21">
        <f>+P22-T22</f>
        <v>45537.530000000006</v>
      </c>
      <c r="Y22" s="17"/>
      <c r="Z22" s="23">
        <f>IF(T22=0,0,X22/T22)</f>
        <v>0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8" t="s">
        <v>290</v>
      </c>
      <c r="C24" s="11"/>
      <c r="D24" s="22" cm="1">
        <f t="array" ref="D24">SUM(OSRRefD22x_0)</f>
        <v>8401.27</v>
      </c>
      <c r="E24" s="22"/>
      <c r="F24" s="33">
        <f t="shared" ref="F24:F55" si="0">IF(D$12=0,0,D24/D$12)</f>
        <v>0.28364327931195843</v>
      </c>
      <c r="G24" s="22"/>
      <c r="H24" s="22" cm="1">
        <f t="array" ref="H24">SUM(OSRRefH22x_0)</f>
        <v>588</v>
      </c>
      <c r="I24" s="22"/>
      <c r="J24" s="33">
        <f t="shared" ref="J24:J55" si="1">IF(H$12=0,0,H24/H$12)</f>
        <v>0</v>
      </c>
      <c r="K24" s="5"/>
      <c r="L24" s="22">
        <f t="shared" ref="L24:L55" si="2">+D24-H24</f>
        <v>7813.27</v>
      </c>
      <c r="M24" s="5"/>
      <c r="N24" s="33">
        <f t="shared" ref="N24:N55" si="3">IF(H24=0,0,L24/H24)</f>
        <v>13.287874149659865</v>
      </c>
      <c r="O24" s="11"/>
      <c r="P24" s="22" cm="1">
        <f t="array" ref="P24">SUM(OSRRefP22x_0)</f>
        <v>31935.870000000003</v>
      </c>
      <c r="Q24" s="22"/>
      <c r="R24" s="33">
        <f t="shared" ref="R24:R55" si="4">IF(P$12=0,0,P24/P$12)</f>
        <v>0.38712158486786769</v>
      </c>
      <c r="S24" s="22"/>
      <c r="T24" s="22" cm="1">
        <f t="array" ref="T24">SUM(OSRRefT22x_0)</f>
        <v>5880</v>
      </c>
      <c r="U24" s="22"/>
      <c r="V24" s="33">
        <f t="shared" ref="V24:V55" si="5">IF(T$12=0,0,T24/T$12)</f>
        <v>0</v>
      </c>
      <c r="W24" s="5"/>
      <c r="X24" s="22">
        <f t="shared" ref="X24:X55" si="6">+P24-T24</f>
        <v>26055.870000000003</v>
      </c>
      <c r="Y24" s="5"/>
      <c r="Z24" s="33">
        <f t="shared" ref="Z24:Z55" si="7">IF(T24=0,0,X24/T24)</f>
        <v>4.4312704081632655</v>
      </c>
    </row>
    <row r="25" spans="1:26" s="69" customFormat="1" ht="15" customHeight="1" outlineLevel="1" collapsed="1" x14ac:dyDescent="0.3">
      <c r="A25" s="25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87.070000000000007</v>
      </c>
      <c r="E25" s="2"/>
      <c r="F25" s="6">
        <f t="shared" si="0"/>
        <v>2.9396532107279281E-3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87.070000000000007</v>
      </c>
      <c r="M25" s="2"/>
      <c r="N25" s="6">
        <f t="shared" si="3"/>
        <v>0</v>
      </c>
      <c r="O25" s="14"/>
      <c r="P25" s="2">
        <f>SUM(OSRRefP22_0x_0)</f>
        <v>232.70000000000002</v>
      </c>
      <c r="Q25" s="2"/>
      <c r="R25" s="6">
        <f t="shared" si="4"/>
        <v>2.8207527397485273E-3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232.70000000000002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7">
        <v>74.06</v>
      </c>
      <c r="E26" s="3"/>
      <c r="F26" s="8">
        <f t="shared" si="0"/>
        <v>2.5004102077237893E-3</v>
      </c>
      <c r="G26" s="3"/>
      <c r="H26" s="7"/>
      <c r="I26" s="3"/>
      <c r="J26" s="8">
        <f t="shared" si="1"/>
        <v>0</v>
      </c>
      <c r="K26" s="3"/>
      <c r="L26" s="7">
        <f t="shared" si="2"/>
        <v>74.06</v>
      </c>
      <c r="M26" s="3"/>
      <c r="N26" s="8">
        <f t="shared" si="3"/>
        <v>0</v>
      </c>
      <c r="O26" s="12"/>
      <c r="P26" s="7">
        <v>197.93</v>
      </c>
      <c r="Q26" s="3"/>
      <c r="R26" s="8">
        <f t="shared" si="4"/>
        <v>2.3992762775179458E-3</v>
      </c>
      <c r="S26" s="3"/>
      <c r="T26" s="7"/>
      <c r="U26" s="3"/>
      <c r="V26" s="8">
        <f t="shared" si="5"/>
        <v>0</v>
      </c>
      <c r="W26" s="3"/>
      <c r="X26" s="7">
        <f t="shared" si="6"/>
        <v>197.93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7">
        <v>13.01</v>
      </c>
      <c r="E27" s="3"/>
      <c r="F27" s="8">
        <f t="shared" si="0"/>
        <v>4.3924300300413852E-4</v>
      </c>
      <c r="G27" s="3"/>
      <c r="H27" s="7"/>
      <c r="I27" s="3"/>
      <c r="J27" s="8">
        <f t="shared" si="1"/>
        <v>0</v>
      </c>
      <c r="K27" s="3"/>
      <c r="L27" s="7">
        <f t="shared" si="2"/>
        <v>13.01</v>
      </c>
      <c r="M27" s="3"/>
      <c r="N27" s="8">
        <f t="shared" si="3"/>
        <v>0</v>
      </c>
      <c r="O27" s="12"/>
      <c r="P27" s="7">
        <v>34.770000000000003</v>
      </c>
      <c r="Q27" s="3"/>
      <c r="R27" s="8">
        <f t="shared" si="4"/>
        <v>4.2147646223058145E-4</v>
      </c>
      <c r="S27" s="3"/>
      <c r="T27" s="7"/>
      <c r="U27" s="3"/>
      <c r="V27" s="8">
        <f t="shared" si="5"/>
        <v>0</v>
      </c>
      <c r="W27" s="3"/>
      <c r="X27" s="7">
        <f t="shared" si="6"/>
        <v>34.770000000000003</v>
      </c>
      <c r="Y27" s="3"/>
      <c r="Z27" s="8">
        <f t="shared" si="7"/>
        <v>0</v>
      </c>
    </row>
    <row r="28" spans="1:26" s="69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6210.2</v>
      </c>
      <c r="E28" s="2"/>
      <c r="F28" s="6">
        <f t="shared" si="0"/>
        <v>0.20966847788288248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6210.2</v>
      </c>
      <c r="M28" s="2"/>
      <c r="N28" s="6">
        <f t="shared" si="3"/>
        <v>0</v>
      </c>
      <c r="O28" s="14"/>
      <c r="P28" s="2">
        <f>SUM(OSRRefP22_1x_0)</f>
        <v>15946.28</v>
      </c>
      <c r="Q28" s="2"/>
      <c r="R28" s="6">
        <f t="shared" si="4"/>
        <v>0.19329829393552705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15946.28</v>
      </c>
      <c r="Y28" s="2"/>
      <c r="Z28" s="6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","6007"," - ","STUDENT HOURLY")</f>
        <v xml:space="preserve">          6007 - STUDENT HOURLY</v>
      </c>
      <c r="C29" s="12"/>
      <c r="D29" s="7">
        <v>3258.16</v>
      </c>
      <c r="E29" s="3"/>
      <c r="F29" s="8">
        <f t="shared" si="0"/>
        <v>0.1100018434026106</v>
      </c>
      <c r="G29" s="3"/>
      <c r="H29" s="7"/>
      <c r="I29" s="3"/>
      <c r="J29" s="8">
        <f t="shared" si="1"/>
        <v>0</v>
      </c>
      <c r="K29" s="3"/>
      <c r="L29" s="7">
        <f t="shared" si="2"/>
        <v>3258.16</v>
      </c>
      <c r="M29" s="3"/>
      <c r="N29" s="8">
        <f t="shared" si="3"/>
        <v>0</v>
      </c>
      <c r="O29" s="12"/>
      <c r="P29" s="7">
        <v>10057.02</v>
      </c>
      <c r="Q29" s="3"/>
      <c r="R29" s="8">
        <f t="shared" si="4"/>
        <v>0.12190961202709813</v>
      </c>
      <c r="S29" s="3"/>
      <c r="T29" s="7"/>
      <c r="U29" s="3"/>
      <c r="V29" s="8">
        <f t="shared" si="5"/>
        <v>0</v>
      </c>
      <c r="W29" s="3"/>
      <c r="X29" s="7">
        <f t="shared" si="6"/>
        <v>10057.02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","6008"," - ","STUDENT HOURLY-FICA EXEMPT")</f>
        <v xml:space="preserve">          6008 - STUDENT HOURLY-FICA EXEMPT</v>
      </c>
      <c r="C30" s="12"/>
      <c r="D30" s="7">
        <v>2952.04</v>
      </c>
      <c r="E30" s="3"/>
      <c r="F30" s="8">
        <f t="shared" si="0"/>
        <v>9.9666634480271882E-2</v>
      </c>
      <c r="G30" s="3"/>
      <c r="H30" s="7"/>
      <c r="I30" s="3"/>
      <c r="J30" s="8">
        <f t="shared" si="1"/>
        <v>0</v>
      </c>
      <c r="K30" s="3"/>
      <c r="L30" s="7">
        <f t="shared" si="2"/>
        <v>2952.04</v>
      </c>
      <c r="M30" s="3"/>
      <c r="N30" s="8">
        <f t="shared" si="3"/>
        <v>0</v>
      </c>
      <c r="O30" s="12"/>
      <c r="P30" s="7">
        <v>5889.26</v>
      </c>
      <c r="Q30" s="3"/>
      <c r="R30" s="8">
        <f t="shared" si="4"/>
        <v>7.1388681908428939E-2</v>
      </c>
      <c r="S30" s="3"/>
      <c r="T30" s="7"/>
      <c r="U30" s="3"/>
      <c r="V30" s="8">
        <f t="shared" si="5"/>
        <v>0</v>
      </c>
      <c r="W30" s="3"/>
      <c r="X30" s="7">
        <f t="shared" si="6"/>
        <v>5889.26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0</v>
      </c>
      <c r="E31" s="2"/>
      <c r="F31" s="6">
        <f t="shared" si="0"/>
        <v>0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SUM(OSRRefP22_2x_0)</f>
        <v>46.31</v>
      </c>
      <c r="Q31" s="2"/>
      <c r="R31" s="6">
        <f t="shared" si="4"/>
        <v>5.6136252418459095E-4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46.31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","6362"," - ","ADVERTISING EXPENSE")</f>
        <v xml:space="preserve">          6362 - ADVERTISING EXPENSE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46.31</v>
      </c>
      <c r="Q32" s="3"/>
      <c r="R32" s="8">
        <f t="shared" si="4"/>
        <v>5.6136252418459095E-4</v>
      </c>
      <c r="S32" s="3"/>
      <c r="T32" s="7"/>
      <c r="U32" s="3"/>
      <c r="V32" s="8">
        <f t="shared" si="5"/>
        <v>0</v>
      </c>
      <c r="W32" s="3"/>
      <c r="X32" s="7">
        <f t="shared" si="6"/>
        <v>46.31</v>
      </c>
      <c r="Y32" s="3"/>
      <c r="Z32" s="8">
        <f t="shared" si="7"/>
        <v>0</v>
      </c>
    </row>
    <row r="33" spans="1:26" s="69" customFormat="1" ht="15" customHeight="1" outlineLevel="1" collapsed="1" x14ac:dyDescent="0.3">
      <c r="A33" s="25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0</v>
      </c>
      <c r="E33" s="2"/>
      <c r="F33" s="6">
        <f t="shared" si="0"/>
        <v>0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SUM(OSRRefP22_3x_0)</f>
        <v>-2.98</v>
      </c>
      <c r="Q33" s="2"/>
      <c r="R33" s="6">
        <f t="shared" si="4"/>
        <v>-3.6123090521919258E-5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-2.98</v>
      </c>
      <c r="Y33" s="2"/>
      <c r="Z33" s="6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","6272"," - ","CASH (OVER/SHORT)")</f>
        <v xml:space="preserve">          6272 - CASH (OVER/SHORT)</v>
      </c>
      <c r="C34" s="12"/>
      <c r="D34" s="7"/>
      <c r="E34" s="3"/>
      <c r="F34" s="8">
        <f t="shared" si="0"/>
        <v>0</v>
      </c>
      <c r="G34" s="3"/>
      <c r="H34" s="7"/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>
        <v>-2.98</v>
      </c>
      <c r="Q34" s="3"/>
      <c r="R34" s="8">
        <f t="shared" si="4"/>
        <v>-3.6123090521919258E-5</v>
      </c>
      <c r="S34" s="3"/>
      <c r="T34" s="7"/>
      <c r="U34" s="3"/>
      <c r="V34" s="8">
        <f t="shared" si="5"/>
        <v>0</v>
      </c>
      <c r="W34" s="3"/>
      <c r="X34" s="7">
        <f t="shared" si="6"/>
        <v>-2.98</v>
      </c>
      <c r="Y34" s="3"/>
      <c r="Z34" s="8">
        <f t="shared" si="7"/>
        <v>0</v>
      </c>
    </row>
    <row r="35" spans="1:26" s="69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1477.54</v>
      </c>
      <c r="E35" s="2"/>
      <c r="F35" s="6">
        <f t="shared" si="0"/>
        <v>4.9884635408050333E-2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1477.54</v>
      </c>
      <c r="M35" s="2"/>
      <c r="N35" s="6">
        <f t="shared" si="3"/>
        <v>0</v>
      </c>
      <c r="O35" s="14"/>
      <c r="P35" s="2">
        <f>SUM(OSRRefP22_4x_0)</f>
        <v>4234.41</v>
      </c>
      <c r="Q35" s="2"/>
      <c r="R35" s="6">
        <f t="shared" si="4"/>
        <v>5.1328850918429571E-2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4234.41</v>
      </c>
      <c r="Y35" s="2"/>
      <c r="Z35" s="6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7">
        <v>1477.54</v>
      </c>
      <c r="E36" s="3"/>
      <c r="F36" s="8">
        <f t="shared" si="0"/>
        <v>4.9884635408050333E-2</v>
      </c>
      <c r="G36" s="3"/>
      <c r="H36" s="7"/>
      <c r="I36" s="3"/>
      <c r="J36" s="8">
        <f t="shared" si="1"/>
        <v>0</v>
      </c>
      <c r="K36" s="3"/>
      <c r="L36" s="7">
        <f t="shared" si="2"/>
        <v>1477.54</v>
      </c>
      <c r="M36" s="3"/>
      <c r="N36" s="8">
        <f t="shared" si="3"/>
        <v>0</v>
      </c>
      <c r="O36" s="12"/>
      <c r="P36" s="7">
        <v>4234.41</v>
      </c>
      <c r="Q36" s="3"/>
      <c r="R36" s="8">
        <f t="shared" si="4"/>
        <v>5.1328850918429571E-2</v>
      </c>
      <c r="S36" s="3"/>
      <c r="T36" s="7"/>
      <c r="U36" s="3"/>
      <c r="V36" s="8">
        <f t="shared" si="5"/>
        <v>0</v>
      </c>
      <c r="W36" s="3"/>
      <c r="X36" s="7">
        <f t="shared" si="6"/>
        <v>4234.41</v>
      </c>
      <c r="Y36" s="3"/>
      <c r="Z36" s="8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1.9883764349673896E-2</v>
      </c>
      <c r="G37" s="2"/>
      <c r="H37" s="2">
        <f>SUM(OSRRefH22_5x_0)</f>
        <v>588</v>
      </c>
      <c r="I37" s="2"/>
      <c r="J37" s="6">
        <f t="shared" si="1"/>
        <v>0</v>
      </c>
      <c r="K37" s="2"/>
      <c r="L37" s="2">
        <f t="shared" si="2"/>
        <v>0.94000000000005457</v>
      </c>
      <c r="M37" s="2"/>
      <c r="N37" s="6">
        <f t="shared" si="3"/>
        <v>1.5986394557824057E-3</v>
      </c>
      <c r="O37" s="14"/>
      <c r="P37" s="2">
        <f>SUM(OSRRefP22_5x_0)</f>
        <v>5889.4</v>
      </c>
      <c r="Q37" s="2"/>
      <c r="R37" s="6">
        <f t="shared" si="4"/>
        <v>7.1390378966372903E-2</v>
      </c>
      <c r="S37" s="2"/>
      <c r="T37" s="2">
        <f>SUM(OSRRefT22_5x_0)</f>
        <v>5880</v>
      </c>
      <c r="U37" s="2"/>
      <c r="V37" s="6">
        <f t="shared" si="5"/>
        <v>0</v>
      </c>
      <c r="W37" s="2"/>
      <c r="X37" s="2">
        <f t="shared" si="6"/>
        <v>9.3999999999996362</v>
      </c>
      <c r="Y37" s="2"/>
      <c r="Z37" s="6">
        <f t="shared" si="7"/>
        <v>1.5986394557822511E-3</v>
      </c>
    </row>
    <row r="38" spans="1:26" s="70" customFormat="1" ht="15" hidden="1" customHeight="1" outlineLevel="2" x14ac:dyDescent="0.3">
      <c r="A38" s="26"/>
      <c r="B38" s="12" t="str">
        <f>CONCATENATE("          ","6322"," - ","EQUIPMENT DEPRECIATION EXPENSE")</f>
        <v xml:space="preserve">          6322 - EQUIPMENT DEPRECIATION EXPENSE</v>
      </c>
      <c r="C38" s="12"/>
      <c r="D38" s="7">
        <v>588.94000000000005</v>
      </c>
      <c r="E38" s="3"/>
      <c r="F38" s="8">
        <f t="shared" si="0"/>
        <v>1.9883764349673896E-2</v>
      </c>
      <c r="G38" s="3"/>
      <c r="H38" s="7">
        <v>588</v>
      </c>
      <c r="I38" s="3"/>
      <c r="J38" s="8">
        <f t="shared" si="1"/>
        <v>0</v>
      </c>
      <c r="K38" s="3"/>
      <c r="L38" s="7">
        <f t="shared" si="2"/>
        <v>0.94000000000005457</v>
      </c>
      <c r="M38" s="3"/>
      <c r="N38" s="8">
        <f t="shared" si="3"/>
        <v>1.5986394557824057E-3</v>
      </c>
      <c r="O38" s="12"/>
      <c r="P38" s="7">
        <v>5889.4</v>
      </c>
      <c r="Q38" s="3"/>
      <c r="R38" s="8">
        <f t="shared" si="4"/>
        <v>7.1390378966372903E-2</v>
      </c>
      <c r="S38" s="3"/>
      <c r="T38" s="7">
        <v>5880</v>
      </c>
      <c r="U38" s="3"/>
      <c r="V38" s="8">
        <f t="shared" si="5"/>
        <v>0</v>
      </c>
      <c r="W38" s="3"/>
      <c r="X38" s="7">
        <f t="shared" si="6"/>
        <v>9.3999999999996362</v>
      </c>
      <c r="Y38" s="3"/>
      <c r="Z38" s="8">
        <f t="shared" si="7"/>
        <v>1.5986394557822511E-3</v>
      </c>
    </row>
    <row r="39" spans="1:26" s="69" customFormat="1" ht="15" customHeight="1" outlineLevel="1" collapsed="1" x14ac:dyDescent="0.3">
      <c r="A39" s="25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3.6365527371059656E-4</v>
      </c>
      <c r="S39" s="2"/>
      <c r="T39" s="2">
        <f>SUM(OSRRefT22_6x_0)</f>
        <v>0</v>
      </c>
      <c r="U39" s="2"/>
      <c r="V39" s="6">
        <f t="shared" si="5"/>
        <v>0</v>
      </c>
      <c r="W39" s="2"/>
      <c r="X39" s="2">
        <f t="shared" si="6"/>
        <v>30</v>
      </c>
      <c r="Y39" s="2"/>
      <c r="Z39" s="6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","6351"," - ","EQUIPMENT RENTAL")</f>
        <v xml:space="preserve">          6351 - EQUIPMENT RENTAL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>
        <v>30</v>
      </c>
      <c r="Q40" s="3"/>
      <c r="R40" s="8">
        <f t="shared" si="4"/>
        <v>3.6365527371059656E-4</v>
      </c>
      <c r="S40" s="3"/>
      <c r="T40" s="7"/>
      <c r="U40" s="3"/>
      <c r="V40" s="8">
        <f t="shared" si="5"/>
        <v>0</v>
      </c>
      <c r="W40" s="3"/>
      <c r="X40" s="7">
        <f t="shared" si="6"/>
        <v>30</v>
      </c>
      <c r="Y40" s="3"/>
      <c r="Z40" s="8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0</v>
      </c>
      <c r="E41" s="2"/>
      <c r="F41" s="6">
        <f t="shared" si="0"/>
        <v>0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SUM(OSRRefP22_7x_0)</f>
        <v>846.65</v>
      </c>
      <c r="Q41" s="2"/>
      <c r="R41" s="6">
        <f t="shared" si="4"/>
        <v>1.0262957916235885E-2</v>
      </c>
      <c r="S41" s="2"/>
      <c r="T41" s="2">
        <f>SUM(OSRRefT22_7x_0)</f>
        <v>0</v>
      </c>
      <c r="U41" s="2"/>
      <c r="V41" s="6">
        <f t="shared" si="5"/>
        <v>0</v>
      </c>
      <c r="W41" s="2"/>
      <c r="X41" s="2">
        <f t="shared" si="6"/>
        <v>846.65</v>
      </c>
      <c r="Y41" s="2"/>
      <c r="Z41" s="6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","6279"," - ","GENERAL EXPENSE")</f>
        <v xml:space="preserve">          6279 - GENERAL EXPENSE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846.65</v>
      </c>
      <c r="Q42" s="3"/>
      <c r="R42" s="8">
        <f t="shared" si="4"/>
        <v>1.0262957916235885E-2</v>
      </c>
      <c r="S42" s="3"/>
      <c r="T42" s="7"/>
      <c r="U42" s="3"/>
      <c r="V42" s="8">
        <f t="shared" si="5"/>
        <v>0</v>
      </c>
      <c r="W42" s="3"/>
      <c r="X42" s="7">
        <f t="shared" si="6"/>
        <v>846.65</v>
      </c>
      <c r="Y42" s="3"/>
      <c r="Z42" s="8">
        <f t="shared" si="7"/>
        <v>0</v>
      </c>
    </row>
    <row r="43" spans="1:26" s="69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2020.17</v>
      </c>
      <c r="Q43" s="2"/>
      <c r="R43" s="6">
        <f t="shared" si="4"/>
        <v>2.4488182476397863E-2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2020.17</v>
      </c>
      <c r="Y43" s="2"/>
      <c r="Z43" s="6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","6373"," - ","MAINTENANCE CONTRACTS")</f>
        <v xml:space="preserve">          6373 - MAINTENANCE CONTRACTS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147.76</v>
      </c>
      <c r="Q44" s="3"/>
      <c r="R44" s="8">
        <f t="shared" si="4"/>
        <v>1.7911234414492582E-3</v>
      </c>
      <c r="S44" s="3"/>
      <c r="T44" s="7"/>
      <c r="U44" s="3"/>
      <c r="V44" s="8">
        <f t="shared" si="5"/>
        <v>0</v>
      </c>
      <c r="W44" s="3"/>
      <c r="X44" s="7">
        <f t="shared" si="6"/>
        <v>147.76</v>
      </c>
      <c r="Y44" s="3"/>
      <c r="Z44" s="8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","6375"," - ","OUTSIDE REPAIRS &amp; MAINTENANCE")</f>
        <v xml:space="preserve">          6375 - OUTSIDE REPAIRS &amp; MAINTENANCE</v>
      </c>
      <c r="C45" s="12"/>
      <c r="D45" s="7"/>
      <c r="E45" s="3"/>
      <c r="F45" s="8">
        <f t="shared" si="0"/>
        <v>0</v>
      </c>
      <c r="G45" s="3"/>
      <c r="H45" s="7"/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>
        <v>1872.41</v>
      </c>
      <c r="Q45" s="3"/>
      <c r="R45" s="8">
        <f t="shared" si="4"/>
        <v>2.2697059034948605E-2</v>
      </c>
      <c r="S45" s="3"/>
      <c r="T45" s="7"/>
      <c r="U45" s="3"/>
      <c r="V45" s="8">
        <f t="shared" si="5"/>
        <v>0</v>
      </c>
      <c r="W45" s="3"/>
      <c r="X45" s="7">
        <f t="shared" si="6"/>
        <v>1872.41</v>
      </c>
      <c r="Y45" s="3"/>
      <c r="Z45" s="8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280.85000000000002</v>
      </c>
      <c r="E46" s="2"/>
      <c r="F46" s="6">
        <f t="shared" si="0"/>
        <v>9.4820443807618997E-3</v>
      </c>
      <c r="G46" s="2"/>
      <c r="H46" s="2">
        <f>SUM(OSRRefH22_9x_0)</f>
        <v>0</v>
      </c>
      <c r="I46" s="2"/>
      <c r="J46" s="6">
        <f t="shared" si="1"/>
        <v>0</v>
      </c>
      <c r="K46" s="2"/>
      <c r="L46" s="2">
        <f t="shared" si="2"/>
        <v>280.85000000000002</v>
      </c>
      <c r="M46" s="2"/>
      <c r="N46" s="6">
        <f t="shared" si="3"/>
        <v>0</v>
      </c>
      <c r="O46" s="14"/>
      <c r="P46" s="2">
        <f>SUM(OSRRefP22_9x_0)</f>
        <v>2151.34</v>
      </c>
      <c r="Q46" s="2"/>
      <c r="R46" s="6">
        <f t="shared" si="4"/>
        <v>2.607820455148516E-2</v>
      </c>
      <c r="S46" s="2"/>
      <c r="T46" s="2">
        <f>SUM(OSRRefT22_9x_0)</f>
        <v>0</v>
      </c>
      <c r="U46" s="2"/>
      <c r="V46" s="6">
        <f t="shared" si="5"/>
        <v>0</v>
      </c>
      <c r="W46" s="2"/>
      <c r="X46" s="2">
        <f t="shared" si="6"/>
        <v>2151.34</v>
      </c>
      <c r="Y46" s="2"/>
      <c r="Z46" s="6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","6282"," - ","JANITORIAL/EXTERMINATOR EXPENS")</f>
        <v xml:space="preserve">          6282 - JANITORIAL/EXTERMINATOR EXPENS</v>
      </c>
      <c r="C47" s="12"/>
      <c r="D47" s="7">
        <v>280.85000000000002</v>
      </c>
      <c r="E47" s="3"/>
      <c r="F47" s="8">
        <f t="shared" si="0"/>
        <v>9.4820443807618997E-3</v>
      </c>
      <c r="G47" s="3"/>
      <c r="H47" s="7"/>
      <c r="I47" s="3"/>
      <c r="J47" s="8">
        <f t="shared" si="1"/>
        <v>0</v>
      </c>
      <c r="K47" s="3"/>
      <c r="L47" s="7">
        <f t="shared" si="2"/>
        <v>280.85000000000002</v>
      </c>
      <c r="M47" s="3"/>
      <c r="N47" s="8">
        <f t="shared" si="3"/>
        <v>0</v>
      </c>
      <c r="O47" s="12"/>
      <c r="P47" s="7">
        <v>1905.5</v>
      </c>
      <c r="Q47" s="3"/>
      <c r="R47" s="8">
        <f t="shared" si="4"/>
        <v>2.3098170801851392E-2</v>
      </c>
      <c r="S47" s="3"/>
      <c r="T47" s="7"/>
      <c r="U47" s="3"/>
      <c r="V47" s="8">
        <f t="shared" si="5"/>
        <v>0</v>
      </c>
      <c r="W47" s="3"/>
      <c r="X47" s="7">
        <f t="shared" si="6"/>
        <v>1905.5</v>
      </c>
      <c r="Y47" s="3"/>
      <c r="Z47" s="8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","6285"," - ","JANITORIAL SERVICES")</f>
        <v xml:space="preserve">          6285 - JANITORIAL SERVICES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245.84</v>
      </c>
      <c r="Q48" s="3"/>
      <c r="R48" s="8">
        <f t="shared" si="4"/>
        <v>2.9800337496337687E-3</v>
      </c>
      <c r="S48" s="3"/>
      <c r="T48" s="7"/>
      <c r="U48" s="3"/>
      <c r="V48" s="8">
        <f t="shared" si="5"/>
        <v>0</v>
      </c>
      <c r="W48" s="3"/>
      <c r="X48" s="7">
        <f t="shared" si="6"/>
        <v>245.84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-273.33</v>
      </c>
      <c r="E49" s="2"/>
      <c r="F49" s="6">
        <f t="shared" si="0"/>
        <v>-9.228154497395941E-3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-273.33</v>
      </c>
      <c r="M49" s="2"/>
      <c r="N49" s="6">
        <f t="shared" si="3"/>
        <v>0</v>
      </c>
      <c r="O49" s="14"/>
      <c r="P49" s="2">
        <f>SUM(OSRRefP22_10x_0)</f>
        <v>121.59</v>
      </c>
      <c r="Q49" s="2"/>
      <c r="R49" s="6">
        <f t="shared" si="4"/>
        <v>1.4738948243490479E-3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121.59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","6241"," - ","OFFICE EXPENSE")</f>
        <v xml:space="preserve">          6241 - OFFICE EXPENSE</v>
      </c>
      <c r="C50" s="12"/>
      <c r="D50" s="7"/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0</v>
      </c>
      <c r="M50" s="3"/>
      <c r="N50" s="8">
        <f t="shared" si="3"/>
        <v>0</v>
      </c>
      <c r="O50" s="12"/>
      <c r="P50" s="7">
        <v>28.64</v>
      </c>
      <c r="Q50" s="3"/>
      <c r="R50" s="8">
        <f t="shared" si="4"/>
        <v>3.4716956796904954E-4</v>
      </c>
      <c r="S50" s="3"/>
      <c r="T50" s="7"/>
      <c r="U50" s="3"/>
      <c r="V50" s="8">
        <f t="shared" si="5"/>
        <v>0</v>
      </c>
      <c r="W50" s="3"/>
      <c r="X50" s="7">
        <f t="shared" si="6"/>
        <v>28.64</v>
      </c>
      <c r="Y50" s="3"/>
      <c r="Z50" s="8">
        <f t="shared" si="7"/>
        <v>0</v>
      </c>
    </row>
    <row r="51" spans="1:26" s="70" customFormat="1" ht="15" hidden="1" customHeight="1" outlineLevel="2" x14ac:dyDescent="0.3">
      <c r="A51" s="26"/>
      <c r="B51" s="12" t="str">
        <f>CONCATENATE("          ","6247"," - ","STORE SUPPLIES")</f>
        <v xml:space="preserve">          6247 - STORE SUPPLIES</v>
      </c>
      <c r="C51" s="12"/>
      <c r="D51" s="7">
        <v>-273.33</v>
      </c>
      <c r="E51" s="3"/>
      <c r="F51" s="8">
        <f t="shared" si="0"/>
        <v>-9.228154497395941E-3</v>
      </c>
      <c r="G51" s="3"/>
      <c r="H51" s="7"/>
      <c r="I51" s="3"/>
      <c r="J51" s="8">
        <f t="shared" si="1"/>
        <v>0</v>
      </c>
      <c r="K51" s="3"/>
      <c r="L51" s="7">
        <f t="shared" si="2"/>
        <v>-273.33</v>
      </c>
      <c r="M51" s="3"/>
      <c r="N51" s="8">
        <f t="shared" si="3"/>
        <v>0</v>
      </c>
      <c r="O51" s="12"/>
      <c r="P51" s="7">
        <v>92.95</v>
      </c>
      <c r="Q51" s="3"/>
      <c r="R51" s="8">
        <f t="shared" si="4"/>
        <v>1.1267252563799985E-3</v>
      </c>
      <c r="S51" s="3"/>
      <c r="T51" s="7"/>
      <c r="U51" s="3"/>
      <c r="V51" s="8">
        <f t="shared" si="5"/>
        <v>0</v>
      </c>
      <c r="W51" s="3"/>
      <c r="X51" s="7">
        <f t="shared" si="6"/>
        <v>92.95</v>
      </c>
      <c r="Y51" s="3"/>
      <c r="Z51" s="8">
        <f t="shared" si="7"/>
        <v>0</v>
      </c>
    </row>
    <row r="52" spans="1:26" s="69" customFormat="1" ht="15" customHeight="1" outlineLevel="1" collapsed="1" x14ac:dyDescent="0.3">
      <c r="A52" s="25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1.0128585772578138E-3</v>
      </c>
      <c r="G52" s="2"/>
      <c r="H52" s="2">
        <f>SUM(OSRRefH22_11x_0)</f>
        <v>0</v>
      </c>
      <c r="I52" s="2"/>
      <c r="J52" s="6">
        <f t="shared" si="1"/>
        <v>0</v>
      </c>
      <c r="K52" s="2"/>
      <c r="L52" s="2">
        <f t="shared" si="2"/>
        <v>30</v>
      </c>
      <c r="M52" s="2"/>
      <c r="N52" s="6">
        <f t="shared" si="3"/>
        <v>0</v>
      </c>
      <c r="O52" s="14"/>
      <c r="P52" s="2">
        <f>SUM(OSRRefP22_11x_0)</f>
        <v>300</v>
      </c>
      <c r="Q52" s="2"/>
      <c r="R52" s="6">
        <f t="shared" si="4"/>
        <v>3.6365527371059656E-3</v>
      </c>
      <c r="S52" s="2"/>
      <c r="T52" s="2">
        <f>SUM(OSRRefT22_11x_0)</f>
        <v>0</v>
      </c>
      <c r="U52" s="2"/>
      <c r="V52" s="6">
        <f t="shared" si="5"/>
        <v>0</v>
      </c>
      <c r="W52" s="2"/>
      <c r="X52" s="2">
        <f t="shared" si="6"/>
        <v>300</v>
      </c>
      <c r="Y52" s="2"/>
      <c r="Z52" s="6">
        <f t="shared" si="7"/>
        <v>0</v>
      </c>
    </row>
    <row r="53" spans="1:26" s="70" customFormat="1" ht="15" hidden="1" customHeight="1" outlineLevel="2" x14ac:dyDescent="0.3">
      <c r="A53" s="26"/>
      <c r="B53" s="12" t="str">
        <f>CONCATENATE("          ","6309"," - ","TELEPHONE")</f>
        <v xml:space="preserve">          6309 - TELEPHONE</v>
      </c>
      <c r="C53" s="12"/>
      <c r="D53" s="7">
        <v>30</v>
      </c>
      <c r="E53" s="3"/>
      <c r="F53" s="8">
        <f t="shared" si="0"/>
        <v>1.0128585772578138E-3</v>
      </c>
      <c r="G53" s="3"/>
      <c r="H53" s="7"/>
      <c r="I53" s="3"/>
      <c r="J53" s="8">
        <f t="shared" si="1"/>
        <v>0</v>
      </c>
      <c r="K53" s="3"/>
      <c r="L53" s="7">
        <f t="shared" si="2"/>
        <v>30</v>
      </c>
      <c r="M53" s="3"/>
      <c r="N53" s="8">
        <f t="shared" si="3"/>
        <v>0</v>
      </c>
      <c r="O53" s="12"/>
      <c r="P53" s="7">
        <v>300</v>
      </c>
      <c r="Q53" s="3"/>
      <c r="R53" s="8">
        <f t="shared" si="4"/>
        <v>3.6365527371059656E-3</v>
      </c>
      <c r="S53" s="3"/>
      <c r="T53" s="7"/>
      <c r="U53" s="3"/>
      <c r="V53" s="8">
        <f t="shared" si="5"/>
        <v>0</v>
      </c>
      <c r="W53" s="3"/>
      <c r="X53" s="7">
        <f t="shared" si="6"/>
        <v>300</v>
      </c>
      <c r="Y53" s="3"/>
      <c r="Z53" s="8">
        <f t="shared" si="7"/>
        <v>0</v>
      </c>
    </row>
    <row r="54" spans="1:26" s="69" customFormat="1" ht="15" customHeight="1" outlineLevel="1" collapsed="1" x14ac:dyDescent="0.3">
      <c r="A54" s="25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0</v>
      </c>
      <c r="E54" s="2"/>
      <c r="F54" s="6">
        <f t="shared" si="0"/>
        <v>0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1.4546210948423862E-3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","6376"," - ","TRAINING")</f>
        <v xml:space="preserve">          6376 - TRAINING</v>
      </c>
      <c r="C55" s="12"/>
      <c r="D55" s="7"/>
      <c r="E55" s="3"/>
      <c r="F55" s="8">
        <f t="shared" si="0"/>
        <v>0</v>
      </c>
      <c r="G55" s="3"/>
      <c r="H55" s="7"/>
      <c r="I55" s="3"/>
      <c r="J55" s="8">
        <f t="shared" si="1"/>
        <v>0</v>
      </c>
      <c r="K55" s="3"/>
      <c r="L55" s="7">
        <f t="shared" si="2"/>
        <v>0</v>
      </c>
      <c r="M55" s="3"/>
      <c r="N55" s="8">
        <f t="shared" si="3"/>
        <v>0</v>
      </c>
      <c r="O55" s="12"/>
      <c r="P55" s="7">
        <v>120</v>
      </c>
      <c r="Q55" s="3"/>
      <c r="R55" s="8">
        <f t="shared" si="4"/>
        <v>1.4546210948423862E-3</v>
      </c>
      <c r="S55" s="3"/>
      <c r="T55" s="7"/>
      <c r="U55" s="3"/>
      <c r="V55" s="8">
        <f t="shared" si="5"/>
        <v>0</v>
      </c>
      <c r="W55" s="3"/>
      <c r="X55" s="7">
        <f t="shared" si="6"/>
        <v>120</v>
      </c>
      <c r="Y55" s="3"/>
      <c r="Z55" s="8">
        <f t="shared" si="7"/>
        <v>0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8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7" t="s">
        <v>292</v>
      </c>
      <c r="C59" s="27"/>
      <c r="D59" s="21">
        <f>+D22-D24+D57</f>
        <v>9765.6899999999987</v>
      </c>
      <c r="E59" s="15"/>
      <c r="F59" s="23">
        <f>IF(D$12=0,0,D59/D$12)</f>
        <v>0.32970876264469523</v>
      </c>
      <c r="G59" s="15"/>
      <c r="H59" s="21">
        <f>+H22-H24+H57</f>
        <v>-588</v>
      </c>
      <c r="I59" s="15"/>
      <c r="J59" s="23">
        <f>IF(H$12=0,0,H59/H$12)</f>
        <v>0</v>
      </c>
      <c r="K59" s="17"/>
      <c r="L59" s="21">
        <f>+D59-H59</f>
        <v>10353.689999999999</v>
      </c>
      <c r="M59" s="17"/>
      <c r="N59" s="23">
        <f>IF(H59=0,0,L59/H59)</f>
        <v>-17.608316326530609</v>
      </c>
      <c r="O59" s="28"/>
      <c r="P59" s="21">
        <f>+P22-P24+P57</f>
        <v>13601.660000000003</v>
      </c>
      <c r="Q59" s="15"/>
      <c r="R59" s="23">
        <f>IF(P$12=0,0,P59/P$12)</f>
        <v>0.16487717967394913</v>
      </c>
      <c r="S59" s="15"/>
      <c r="T59" s="21">
        <f>+T22-T24+T57</f>
        <v>-5880</v>
      </c>
      <c r="U59" s="15"/>
      <c r="V59" s="23">
        <f>IF(T$12=0,0,T59/T$12)</f>
        <v>0</v>
      </c>
      <c r="W59" s="17"/>
      <c r="X59" s="21">
        <f>+P59-T59</f>
        <v>19481.660000000003</v>
      </c>
      <c r="Y59" s="17"/>
      <c r="Z59" s="23">
        <f>IF(T59=0,0,X59/T59)</f>
        <v>-3.3132074829931977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>
        <v>3034.74</v>
      </c>
      <c r="E61" s="5"/>
      <c r="F61" s="13">
        <f>IF(D$12=0,0,D61/D$12)</f>
        <v>0.10245874795824592</v>
      </c>
      <c r="G61" s="5"/>
      <c r="H61" s="5"/>
      <c r="I61" s="5"/>
      <c r="J61" s="13">
        <f>IF(H$12=0,0,H61/H$12)</f>
        <v>0</v>
      </c>
      <c r="K61" s="5"/>
      <c r="L61" s="5">
        <f>+D61-H61</f>
        <v>3034.74</v>
      </c>
      <c r="M61" s="5"/>
      <c r="N61" s="13">
        <f>IF(H61=0,0,L61/H61)</f>
        <v>0</v>
      </c>
      <c r="O61" s="11"/>
      <c r="P61" s="5">
        <v>9345.43</v>
      </c>
      <c r="Q61" s="5"/>
      <c r="R61" s="13">
        <f>IF(P$12=0,0,P61/P$12)</f>
        <v>0.11328383015310735</v>
      </c>
      <c r="S61" s="5"/>
      <c r="T61" s="5"/>
      <c r="U61" s="5"/>
      <c r="V61" s="13">
        <f>IF(T$12=0,0,T61/T$12)</f>
        <v>0</v>
      </c>
      <c r="W61" s="5"/>
      <c r="X61" s="5">
        <f>+P61-T61</f>
        <v>9345.43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7" t="s">
        <v>294</v>
      </c>
      <c r="C63" s="27"/>
      <c r="D63" s="29">
        <f>+D59-D61</f>
        <v>6730.9499999999989</v>
      </c>
      <c r="E63" s="15"/>
      <c r="F63" s="30">
        <f>IF(D$12=0,0,D63/D$12)</f>
        <v>0.22725001468644934</v>
      </c>
      <c r="G63" s="15"/>
      <c r="H63" s="29">
        <f>+H59-H61</f>
        <v>-588</v>
      </c>
      <c r="I63" s="15"/>
      <c r="J63" s="30">
        <f>IF(H$12=0,0,H63/H$12)</f>
        <v>0</v>
      </c>
      <c r="K63" s="17"/>
      <c r="L63" s="29">
        <f>D63-H63</f>
        <v>7318.9499999999989</v>
      </c>
      <c r="M63" s="17"/>
      <c r="N63" s="30">
        <f>IF(H63=0,0,L63/H63)</f>
        <v>-12.447193877551019</v>
      </c>
      <c r="O63" s="28"/>
      <c r="P63" s="29">
        <f>+P59-P61</f>
        <v>4256.2300000000032</v>
      </c>
      <c r="Q63" s="15"/>
      <c r="R63" s="30">
        <f>IF(P$12=0,0,P63/P$12)</f>
        <v>5.1593349520841783E-2</v>
      </c>
      <c r="S63" s="15"/>
      <c r="T63" s="29">
        <f>+T59-T61</f>
        <v>-5880</v>
      </c>
      <c r="U63" s="15"/>
      <c r="V63" s="30">
        <f>IF(T$12=0,0,T63/T$12)</f>
        <v>0</v>
      </c>
      <c r="W63" s="17"/>
      <c r="X63" s="29">
        <f>P63-T63</f>
        <v>10136.230000000003</v>
      </c>
      <c r="Y63" s="17"/>
      <c r="Z63" s="30">
        <f>IF(T63=0,0,X63/T63)</f>
        <v>-1.7238486394557828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7" t="s">
        <v>297</v>
      </c>
      <c r="C66" s="27"/>
      <c r="D66" s="32">
        <f>SUM(D63:D65)</f>
        <v>6730.9499999999989</v>
      </c>
      <c r="E66" s="15"/>
      <c r="F66" s="34">
        <f>IF(D$12=0,0,D66/D$12)</f>
        <v>0.22725001468644934</v>
      </c>
      <c r="G66" s="15"/>
      <c r="H66" s="32">
        <f>SUM(H63:H65)</f>
        <v>-588</v>
      </c>
      <c r="I66" s="15"/>
      <c r="J66" s="34">
        <f>IF(H$12=0,0,H66/H$12)</f>
        <v>0</v>
      </c>
      <c r="K66" s="17"/>
      <c r="L66" s="32">
        <f>+D66-H66</f>
        <v>7318.9499999999989</v>
      </c>
      <c r="M66" s="17"/>
      <c r="N66" s="34">
        <f>IF(H66=0,0,L66/H66)</f>
        <v>-12.447193877551019</v>
      </c>
      <c r="O66" s="28"/>
      <c r="P66" s="32">
        <f>SUM(P63:P65)</f>
        <v>4256.2300000000032</v>
      </c>
      <c r="Q66" s="15"/>
      <c r="R66" s="34">
        <f>IF(P$12=0,0,P66/P$12)</f>
        <v>5.1593349520841783E-2</v>
      </c>
      <c r="S66" s="15"/>
      <c r="T66" s="32">
        <f>SUM(T63:T65)</f>
        <v>-5880</v>
      </c>
      <c r="U66" s="15"/>
      <c r="V66" s="34">
        <f>IF(T$12=0,0,T66/T$12)</f>
        <v>0</v>
      </c>
      <c r="W66" s="17"/>
      <c r="X66" s="32">
        <f>+P66-T66</f>
        <v>10136.230000000003</v>
      </c>
      <c r="Y66" s="17"/>
      <c r="Z66" s="34">
        <f>IF(T66=0,0,X66/T66)</f>
        <v>-1.7238486394557828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6">
        <v>44694.888552430559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0" t="s">
        <v>298</v>
      </c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A70" s="10"/>
      <c r="B70" s="51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A5DB3-4803-FEE1-120E-D744AC081EDA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","321"," - ","Corner Market")</f>
        <v>Department 321 - Corner Market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37647.72</v>
      </c>
      <c r="E12" s="5"/>
      <c r="F12" s="13"/>
      <c r="G12" s="5"/>
      <c r="H12" s="5">
        <f>SUM(OSRRefH13x_0)</f>
        <v>24819</v>
      </c>
      <c r="I12" s="5"/>
      <c r="J12" s="13"/>
      <c r="K12" s="5"/>
      <c r="L12" s="5">
        <f>+D12-H12</f>
        <v>12828.720000000001</v>
      </c>
      <c r="M12" s="5"/>
      <c r="N12" s="13">
        <f>IF(H12=0,0,L12/H12)</f>
        <v>0.51689109150247803</v>
      </c>
      <c r="O12" s="11"/>
      <c r="P12" s="5">
        <f>SUM(OSRRefP13x_0)</f>
        <v>100040.74</v>
      </c>
      <c r="Q12" s="5"/>
      <c r="R12" s="13"/>
      <c r="S12" s="5"/>
      <c r="T12" s="5">
        <f>SUM(OSRRefT13x_0)</f>
        <v>139927</v>
      </c>
      <c r="U12" s="5"/>
      <c r="V12" s="13"/>
      <c r="W12" s="5"/>
      <c r="X12" s="5">
        <f>+P12-T12</f>
        <v>-39886.259999999995</v>
      </c>
      <c r="Y12" s="5"/>
      <c r="Z12" s="13">
        <f>IF(T12=0,0,X12/T12)</f>
        <v>-0.28505049061296245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--5619.42</f>
        <v>5619.42</v>
      </c>
      <c r="E13" s="3"/>
      <c r="F13" s="20"/>
      <c r="G13" s="3"/>
      <c r="H13" s="3">
        <v>5763</v>
      </c>
      <c r="I13" s="3"/>
      <c r="J13" s="20"/>
      <c r="K13" s="3"/>
      <c r="L13" s="3">
        <f>+D13-H13</f>
        <v>-143.57999999999993</v>
      </c>
      <c r="M13" s="3"/>
      <c r="N13" s="20">
        <f>IF(H13=0,0,L13/H13)</f>
        <v>-2.4914107235814668E-2</v>
      </c>
      <c r="O13" s="12"/>
      <c r="P13" s="3">
        <f>--15804.5</f>
        <v>15804.5</v>
      </c>
      <c r="Q13" s="3"/>
      <c r="R13" s="20"/>
      <c r="S13" s="3"/>
      <c r="T13" s="3">
        <v>32492</v>
      </c>
      <c r="U13" s="3"/>
      <c r="V13" s="20"/>
      <c r="W13" s="3"/>
      <c r="X13" s="3">
        <f>+P13-T13</f>
        <v>-16687.5</v>
      </c>
      <c r="Y13" s="3"/>
      <c r="Z13" s="20">
        <f>IF(T13=0,0,X13/T13)</f>
        <v>-0.51358796011325869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--32028.3</f>
        <v>32028.3</v>
      </c>
      <c r="E14" s="3"/>
      <c r="F14" s="20"/>
      <c r="G14" s="3"/>
      <c r="H14" s="3">
        <v>19056</v>
      </c>
      <c r="I14" s="3"/>
      <c r="J14" s="20"/>
      <c r="K14" s="3"/>
      <c r="L14" s="3">
        <f>+D14-H14</f>
        <v>12972.3</v>
      </c>
      <c r="M14" s="3"/>
      <c r="N14" s="20">
        <f>IF(H14=0,0,L14/H14)</f>
        <v>0.68074622166246845</v>
      </c>
      <c r="O14" s="12"/>
      <c r="P14" s="3">
        <f>--84236.24</f>
        <v>84236.24</v>
      </c>
      <c r="Q14" s="3"/>
      <c r="R14" s="20"/>
      <c r="S14" s="3"/>
      <c r="T14" s="3">
        <v>107435</v>
      </c>
      <c r="U14" s="3"/>
      <c r="V14" s="20"/>
      <c r="W14" s="3"/>
      <c r="X14" s="3">
        <f>+P14-T14</f>
        <v>-23198.759999999995</v>
      </c>
      <c r="Y14" s="3"/>
      <c r="Z14" s="20">
        <f>IF(T14=0,0,X14/T14)</f>
        <v>-0.21593298273374595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18447.939999999999</v>
      </c>
      <c r="E16" s="5"/>
      <c r="F16" s="13">
        <f>IF(D$12=0,0,D16/D$12)</f>
        <v>0.49001480036506856</v>
      </c>
      <c r="G16" s="5"/>
      <c r="H16" s="5">
        <f>SUM(OSRRefH16x_0)</f>
        <v>12161</v>
      </c>
      <c r="I16" s="5"/>
      <c r="J16" s="13">
        <f>IF(H$12=0,0,H16/H$12)</f>
        <v>0.48998750956928161</v>
      </c>
      <c r="K16" s="5"/>
      <c r="L16" s="5">
        <f>+D16-H16</f>
        <v>6286.9399999999987</v>
      </c>
      <c r="M16" s="5"/>
      <c r="N16" s="13">
        <f>IF(H16=0,0,L16/H16)</f>
        <v>0.51697557766631019</v>
      </c>
      <c r="O16" s="11"/>
      <c r="P16" s="5">
        <f>SUM(OSRRefP16x_0)</f>
        <v>57549.710000000006</v>
      </c>
      <c r="Q16" s="5"/>
      <c r="R16" s="13">
        <f>IF(P$12=0,0,P16/P$12)</f>
        <v>0.57526273796055494</v>
      </c>
      <c r="S16" s="5"/>
      <c r="T16" s="5">
        <f>SUM(OSRRefT16x_0)</f>
        <v>68563</v>
      </c>
      <c r="U16" s="5"/>
      <c r="V16" s="13">
        <f>IF(T$12=0,0,T16/T$12)</f>
        <v>0.48999120970220184</v>
      </c>
      <c r="W16" s="5"/>
      <c r="X16" s="5">
        <f>+P16-T16</f>
        <v>-11013.289999999994</v>
      </c>
      <c r="Y16" s="5"/>
      <c r="Z16" s="13">
        <f>IF(T16=0,0,X16/T16)</f>
        <v>-0.16063022329828033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>
        <v>-2496</v>
      </c>
      <c r="E17" s="3"/>
      <c r="F17" s="20">
        <f>IF(D$12=0,0,D17/D$12)</f>
        <v>-6.6298835626699304E-2</v>
      </c>
      <c r="G17" s="3"/>
      <c r="H17" s="3">
        <v>12161</v>
      </c>
      <c r="I17" s="3"/>
      <c r="J17" s="20">
        <f>IF(H$12=0,0,H17/H$12)</f>
        <v>0.48998750956928161</v>
      </c>
      <c r="K17" s="3"/>
      <c r="L17" s="3">
        <f>+D17-H17</f>
        <v>-14657</v>
      </c>
      <c r="M17" s="3"/>
      <c r="N17" s="20">
        <f>IF(H17=0,0,L17/H17)</f>
        <v>-1.2052462790888907</v>
      </c>
      <c r="O17" s="12"/>
      <c r="P17" s="3">
        <v>-8062</v>
      </c>
      <c r="Q17" s="3"/>
      <c r="R17" s="20">
        <f>IF(P$12=0,0,P17/P$12)</f>
        <v>-8.0587168787435992E-2</v>
      </c>
      <c r="S17" s="3"/>
      <c r="T17" s="3">
        <v>68563</v>
      </c>
      <c r="U17" s="3"/>
      <c r="V17" s="20">
        <f>IF(T$12=0,0,T17/T$12)</f>
        <v>0.48999120970220184</v>
      </c>
      <c r="W17" s="3"/>
      <c r="X17" s="3">
        <f>+P17-T17</f>
        <v>-76625</v>
      </c>
      <c r="Y17" s="3"/>
      <c r="Z17" s="20">
        <f>IF(T17=0,0,X17/T17)</f>
        <v>-1.1175852865248019</v>
      </c>
    </row>
    <row r="18" spans="1:26" s="70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20943.939999999999</v>
      </c>
      <c r="E18" s="3"/>
      <c r="F18" s="20">
        <f>IF(D$12=0,0,D18/D$12)</f>
        <v>0.55631363599176786</v>
      </c>
      <c r="G18" s="3"/>
      <c r="H18" s="3"/>
      <c r="I18" s="3"/>
      <c r="J18" s="20">
        <f>IF(H$12=0,0,H18/H$12)</f>
        <v>0</v>
      </c>
      <c r="K18" s="3"/>
      <c r="L18" s="3">
        <f>+D18-H18</f>
        <v>20943.939999999999</v>
      </c>
      <c r="M18" s="3"/>
      <c r="N18" s="20">
        <f>IF(H18=0,0,L18/H18)</f>
        <v>0</v>
      </c>
      <c r="O18" s="12"/>
      <c r="P18" s="3">
        <v>65611.710000000006</v>
      </c>
      <c r="Q18" s="3"/>
      <c r="R18" s="20">
        <f>IF(P$12=0,0,P18/P$12)</f>
        <v>0.65584990674799093</v>
      </c>
      <c r="S18" s="3"/>
      <c r="T18" s="3"/>
      <c r="U18" s="3"/>
      <c r="V18" s="20">
        <f>IF(T$12=0,0,T18/T$12)</f>
        <v>0</v>
      </c>
      <c r="W18" s="3"/>
      <c r="X18" s="3">
        <f>+P18-T18</f>
        <v>65611.710000000006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3">
      <c r="A20" s="11"/>
      <c r="B20" s="27" t="s">
        <v>289</v>
      </c>
      <c r="C20" s="27"/>
      <c r="D20" s="21">
        <f>D12-D16</f>
        <v>19199.780000000002</v>
      </c>
      <c r="E20" s="15"/>
      <c r="F20" s="23">
        <f>IF(D$12=0,0,D20/D$12)</f>
        <v>0.5099851996349315</v>
      </c>
      <c r="G20" s="15"/>
      <c r="H20" s="21">
        <f>H12-H16</f>
        <v>12658</v>
      </c>
      <c r="I20" s="15"/>
      <c r="J20" s="23">
        <f>IF(H$12=0,0,H20/H$12)</f>
        <v>0.51001249043071839</v>
      </c>
      <c r="K20" s="17"/>
      <c r="L20" s="21">
        <f>+D20-H20</f>
        <v>6541.7800000000025</v>
      </c>
      <c r="M20" s="17"/>
      <c r="N20" s="23">
        <f>IF(H20=0,0,L20/H20)</f>
        <v>0.51680992257860658</v>
      </c>
      <c r="O20" s="28"/>
      <c r="P20" s="21">
        <f>P12-P16</f>
        <v>42491.03</v>
      </c>
      <c r="Q20" s="15"/>
      <c r="R20" s="23">
        <f>IF(P$12=0,0,P20/P$12)</f>
        <v>0.42473726203944512</v>
      </c>
      <c r="S20" s="15"/>
      <c r="T20" s="21">
        <f>T12-T16</f>
        <v>71364</v>
      </c>
      <c r="U20" s="15"/>
      <c r="V20" s="23">
        <f>IF(T$12=0,0,T20/T$12)</f>
        <v>0.51000879029779811</v>
      </c>
      <c r="W20" s="17"/>
      <c r="X20" s="21">
        <f>+P20-T20</f>
        <v>-28872.97</v>
      </c>
      <c r="Y20" s="17"/>
      <c r="Z20" s="23">
        <f>IF(T20=0,0,X20/T20)</f>
        <v>-0.40458732694355698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8" t="s">
        <v>290</v>
      </c>
      <c r="C22" s="11"/>
      <c r="D22" s="22" cm="1">
        <f t="array" ref="D22">SUM(OSRRefD22x_0)</f>
        <v>19694.060000000001</v>
      </c>
      <c r="E22" s="22"/>
      <c r="F22" s="33">
        <f t="shared" ref="F22:F53" si="0">IF(D$12=0,0,D22/D$12)</f>
        <v>0.52311428155543016</v>
      </c>
      <c r="G22" s="22"/>
      <c r="H22" s="22" cm="1">
        <f t="array" ref="H22">SUM(OSRRefH22x_0)</f>
        <v>11577.78563475</v>
      </c>
      <c r="I22" s="22"/>
      <c r="J22" s="33">
        <f t="shared" ref="J22:J53" si="1">IF(H$12=0,0,H22/H$12)</f>
        <v>0.46648880433337364</v>
      </c>
      <c r="K22" s="5"/>
      <c r="L22" s="22">
        <f t="shared" ref="L22:L53" si="2">+D22-H22</f>
        <v>8116.2743652500012</v>
      </c>
      <c r="M22" s="5"/>
      <c r="N22" s="33">
        <f t="shared" ref="N22:N53" si="3">IF(H22=0,0,L22/H22)</f>
        <v>0.70102130245783023</v>
      </c>
      <c r="O22" s="11"/>
      <c r="P22" s="22" cm="1">
        <f t="array" ref="P22">SUM(OSRRefP22x_0)</f>
        <v>70063.509999999995</v>
      </c>
      <c r="Q22" s="22"/>
      <c r="R22" s="33">
        <f t="shared" ref="R22:R53" si="4">IF(P$12=0,0,P22/P$12)</f>
        <v>0.7003497775006462</v>
      </c>
      <c r="S22" s="22"/>
      <c r="T22" s="22" cm="1">
        <f t="array" ref="T22">SUM(OSRRefT22x_0)</f>
        <v>79787.074954249998</v>
      </c>
      <c r="U22" s="22"/>
      <c r="V22" s="33">
        <f t="shared" ref="V22:V53" si="5">IF(T$12=0,0,T22/T$12)</f>
        <v>0.57020499942291336</v>
      </c>
      <c r="W22" s="5"/>
      <c r="X22" s="22">
        <f t="shared" ref="X22:X53" si="6">+P22-T22</f>
        <v>-9723.5649542500032</v>
      </c>
      <c r="Y22" s="5"/>
      <c r="Z22" s="33">
        <f t="shared" ref="Z22:Z53" si="7">IF(T22=0,0,X22/T22)</f>
        <v>-0.12186892375520103</v>
      </c>
    </row>
    <row r="23" spans="1:26" s="69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3110.8800000000006</v>
      </c>
      <c r="E23" s="2"/>
      <c r="F23" s="6">
        <f t="shared" si="0"/>
        <v>8.2631298787815055E-2</v>
      </c>
      <c r="G23" s="2"/>
      <c r="H23" s="2">
        <f>SUM(OSRRefH22_0x_0)</f>
        <v>645.71228474999998</v>
      </c>
      <c r="I23" s="2"/>
      <c r="J23" s="6">
        <f t="shared" si="1"/>
        <v>2.6016853408678833E-2</v>
      </c>
      <c r="K23" s="2"/>
      <c r="L23" s="2">
        <f t="shared" si="2"/>
        <v>2465.1677152500006</v>
      </c>
      <c r="M23" s="2"/>
      <c r="N23" s="6">
        <f t="shared" si="3"/>
        <v>3.8177494427017722</v>
      </c>
      <c r="O23" s="14"/>
      <c r="P23" s="2">
        <f>SUM(OSRRefP22_0x_0)</f>
        <v>12365.859999999999</v>
      </c>
      <c r="Q23" s="2"/>
      <c r="R23" s="6">
        <f t="shared" si="4"/>
        <v>0.12360824200220828</v>
      </c>
      <c r="S23" s="2"/>
      <c r="T23" s="2">
        <f>SUM(OSRRefT22_0x_0)</f>
        <v>4174.0561042499994</v>
      </c>
      <c r="U23" s="2"/>
      <c r="V23" s="6">
        <f t="shared" si="5"/>
        <v>2.9830240798773642E-2</v>
      </c>
      <c r="W23" s="2"/>
      <c r="X23" s="2">
        <f t="shared" si="6"/>
        <v>8191.8038957499994</v>
      </c>
      <c r="Y23" s="2"/>
      <c r="Z23" s="6">
        <f t="shared" si="7"/>
        <v>1.9625524169186783</v>
      </c>
    </row>
    <row r="24" spans="1:26" s="70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7">
        <v>716.14</v>
      </c>
      <c r="E24" s="3"/>
      <c r="F24" s="8">
        <f t="shared" si="0"/>
        <v>1.9022134673759791E-2</v>
      </c>
      <c r="G24" s="3"/>
      <c r="H24" s="7">
        <v>186.08843475</v>
      </c>
      <c r="I24" s="3"/>
      <c r="J24" s="8">
        <f t="shared" si="1"/>
        <v>7.497821618518071E-3</v>
      </c>
      <c r="K24" s="3"/>
      <c r="L24" s="7">
        <f t="shared" si="2"/>
        <v>530.05156524999995</v>
      </c>
      <c r="M24" s="3"/>
      <c r="N24" s="8">
        <f t="shared" si="3"/>
        <v>2.848385317239603</v>
      </c>
      <c r="O24" s="12"/>
      <c r="P24" s="7">
        <v>2373.75</v>
      </c>
      <c r="Q24" s="3"/>
      <c r="R24" s="8">
        <f t="shared" si="4"/>
        <v>2.3727833280721432E-2</v>
      </c>
      <c r="S24" s="3"/>
      <c r="T24" s="7">
        <v>1282.6217542500001</v>
      </c>
      <c r="U24" s="3"/>
      <c r="V24" s="8">
        <f t="shared" si="5"/>
        <v>9.1663635627863109E-3</v>
      </c>
      <c r="W24" s="3"/>
      <c r="X24" s="7">
        <f t="shared" si="6"/>
        <v>1091.1282457499999</v>
      </c>
      <c r="Y24" s="3"/>
      <c r="Z24" s="8">
        <f t="shared" si="7"/>
        <v>0.85070149647354609</v>
      </c>
    </row>
    <row r="25" spans="1:26" s="70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7">
        <v>119.92</v>
      </c>
      <c r="E25" s="3"/>
      <c r="F25" s="8">
        <f t="shared" si="0"/>
        <v>3.1853190578340468E-3</v>
      </c>
      <c r="G25" s="3"/>
      <c r="H25" s="7">
        <v>248.85348450000001</v>
      </c>
      <c r="I25" s="3"/>
      <c r="J25" s="8">
        <f t="shared" si="1"/>
        <v>1.0026732926387042E-2</v>
      </c>
      <c r="K25" s="3"/>
      <c r="L25" s="7">
        <f t="shared" si="2"/>
        <v>-128.93348450000002</v>
      </c>
      <c r="M25" s="3"/>
      <c r="N25" s="8">
        <f t="shared" si="3"/>
        <v>-0.51811002268686346</v>
      </c>
      <c r="O25" s="12"/>
      <c r="P25" s="7">
        <v>494.23</v>
      </c>
      <c r="Q25" s="3"/>
      <c r="R25" s="8">
        <f t="shared" si="4"/>
        <v>4.9402873269430037E-3</v>
      </c>
      <c r="S25" s="3"/>
      <c r="T25" s="7">
        <v>1565.5051695</v>
      </c>
      <c r="U25" s="3"/>
      <c r="V25" s="8">
        <f t="shared" si="5"/>
        <v>1.1188013532056E-2</v>
      </c>
      <c r="W25" s="3"/>
      <c r="X25" s="7">
        <f t="shared" si="6"/>
        <v>-1071.2751694999999</v>
      </c>
      <c r="Y25" s="3"/>
      <c r="Z25" s="8">
        <f t="shared" si="7"/>
        <v>-0.68429998850923623</v>
      </c>
    </row>
    <row r="26" spans="1:26" s="70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7">
        <v>1284.4100000000001</v>
      </c>
      <c r="E26" s="3"/>
      <c r="F26" s="8">
        <f t="shared" si="0"/>
        <v>3.411654145324073E-2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1284.4100000000001</v>
      </c>
      <c r="M26" s="3"/>
      <c r="N26" s="8">
        <f t="shared" si="3"/>
        <v>0</v>
      </c>
      <c r="O26" s="12"/>
      <c r="P26" s="7">
        <v>5171.4799999999996</v>
      </c>
      <c r="Q26" s="3"/>
      <c r="R26" s="8">
        <f t="shared" si="4"/>
        <v>5.1693739970336078E-2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5171.4799999999996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7">
        <v>21.07</v>
      </c>
      <c r="E27" s="3"/>
      <c r="F27" s="8">
        <f t="shared" si="0"/>
        <v>5.5966204593531821E-4</v>
      </c>
      <c r="G27" s="3"/>
      <c r="H27" s="7">
        <v>13.7887155</v>
      </c>
      <c r="I27" s="3"/>
      <c r="J27" s="8">
        <f t="shared" si="1"/>
        <v>5.5557095370482293E-4</v>
      </c>
      <c r="K27" s="3"/>
      <c r="L27" s="7">
        <f t="shared" si="2"/>
        <v>7.2812844999999999</v>
      </c>
      <c r="M27" s="3"/>
      <c r="N27" s="8">
        <f t="shared" si="3"/>
        <v>0.52806111635271613</v>
      </c>
      <c r="O27" s="12"/>
      <c r="P27" s="7">
        <v>85.09</v>
      </c>
      <c r="Q27" s="3"/>
      <c r="R27" s="8">
        <f t="shared" si="4"/>
        <v>8.505534845104104E-4</v>
      </c>
      <c r="S27" s="3"/>
      <c r="T27" s="7">
        <v>86.743030500000003</v>
      </c>
      <c r="U27" s="3"/>
      <c r="V27" s="8">
        <f t="shared" si="5"/>
        <v>6.1991631707962013E-4</v>
      </c>
      <c r="W27" s="3"/>
      <c r="X27" s="7">
        <f t="shared" si="6"/>
        <v>-1.6530304999999998</v>
      </c>
      <c r="Y27" s="3"/>
      <c r="Z27" s="8">
        <f t="shared" si="7"/>
        <v>-1.9056637639608402E-2</v>
      </c>
    </row>
    <row r="28" spans="1:26" s="70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7"/>
      <c r="E28" s="3"/>
      <c r="F28" s="8">
        <f t="shared" si="0"/>
        <v>0</v>
      </c>
      <c r="G28" s="3"/>
      <c r="H28" s="7">
        <v>0</v>
      </c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/>
      <c r="Q28" s="3"/>
      <c r="R28" s="8">
        <f t="shared" si="4"/>
        <v>0</v>
      </c>
      <c r="S28" s="3"/>
      <c r="T28" s="7">
        <v>0</v>
      </c>
      <c r="U28" s="3"/>
      <c r="V28" s="8">
        <f t="shared" si="5"/>
        <v>0</v>
      </c>
      <c r="W28" s="3"/>
      <c r="X28" s="7">
        <f t="shared" si="6"/>
        <v>0</v>
      </c>
      <c r="Y28" s="3"/>
      <c r="Z28" s="8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","6116"," - ","EDUCATIONAL BENEFITS")</f>
        <v xml:space="preserve">          6116 - EDUCATIONAL BENEFITS</v>
      </c>
      <c r="C29" s="12"/>
      <c r="D29" s="7"/>
      <c r="E29" s="3"/>
      <c r="F29" s="8">
        <f t="shared" si="0"/>
        <v>0</v>
      </c>
      <c r="G29" s="3"/>
      <c r="H29" s="7">
        <v>0</v>
      </c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0</v>
      </c>
      <c r="U29" s="3"/>
      <c r="V29" s="8">
        <f t="shared" si="5"/>
        <v>0</v>
      </c>
      <c r="W29" s="3"/>
      <c r="X29" s="7">
        <f t="shared" si="6"/>
        <v>0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7">
        <v>211.63</v>
      </c>
      <c r="E30" s="3"/>
      <c r="F30" s="8">
        <f t="shared" si="0"/>
        <v>5.6213231505121688E-3</v>
      </c>
      <c r="G30" s="3"/>
      <c r="H30" s="7"/>
      <c r="I30" s="3"/>
      <c r="J30" s="8">
        <f t="shared" si="1"/>
        <v>0</v>
      </c>
      <c r="K30" s="3"/>
      <c r="L30" s="7">
        <f t="shared" si="2"/>
        <v>211.63</v>
      </c>
      <c r="M30" s="3"/>
      <c r="N30" s="8">
        <f t="shared" si="3"/>
        <v>0</v>
      </c>
      <c r="O30" s="12"/>
      <c r="P30" s="7">
        <v>968.66</v>
      </c>
      <c r="Q30" s="3"/>
      <c r="R30" s="8">
        <f t="shared" si="4"/>
        <v>9.6826552862363871E-3</v>
      </c>
      <c r="S30" s="3"/>
      <c r="T30" s="7"/>
      <c r="U30" s="3"/>
      <c r="V30" s="8">
        <f t="shared" si="5"/>
        <v>0</v>
      </c>
      <c r="W30" s="3"/>
      <c r="X30" s="7">
        <f t="shared" si="6"/>
        <v>968.66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7">
        <v>244.86</v>
      </c>
      <c r="E31" s="3"/>
      <c r="F31" s="8">
        <f t="shared" si="0"/>
        <v>6.5039795238596119E-3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244.86</v>
      </c>
      <c r="M31" s="3"/>
      <c r="N31" s="8">
        <f t="shared" si="3"/>
        <v>0</v>
      </c>
      <c r="O31" s="12"/>
      <c r="P31" s="7">
        <v>979.44</v>
      </c>
      <c r="Q31" s="3"/>
      <c r="R31" s="8">
        <f t="shared" si="4"/>
        <v>9.7904113864011807E-3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979.44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7">
        <v>293.37</v>
      </c>
      <c r="E32" s="3"/>
      <c r="F32" s="8">
        <f t="shared" si="0"/>
        <v>7.7925037691525543E-3</v>
      </c>
      <c r="G32" s="3"/>
      <c r="H32" s="7">
        <v>196.98165</v>
      </c>
      <c r="I32" s="3"/>
      <c r="J32" s="8">
        <f t="shared" si="1"/>
        <v>7.9367279100688998E-3</v>
      </c>
      <c r="K32" s="3"/>
      <c r="L32" s="7">
        <f t="shared" si="2"/>
        <v>96.388350000000003</v>
      </c>
      <c r="M32" s="3"/>
      <c r="N32" s="8">
        <f t="shared" si="3"/>
        <v>0.48932654386842633</v>
      </c>
      <c r="O32" s="12"/>
      <c r="P32" s="7">
        <v>1173.48</v>
      </c>
      <c r="Q32" s="3"/>
      <c r="R32" s="8">
        <f t="shared" si="4"/>
        <v>1.1730021189367451E-2</v>
      </c>
      <c r="S32" s="3"/>
      <c r="T32" s="7">
        <v>1239.18615</v>
      </c>
      <c r="U32" s="3"/>
      <c r="V32" s="8">
        <f t="shared" si="5"/>
        <v>8.855947386851715E-3</v>
      </c>
      <c r="W32" s="3"/>
      <c r="X32" s="7">
        <f t="shared" si="6"/>
        <v>-65.70614999999998</v>
      </c>
      <c r="Y32" s="3"/>
      <c r="Z32" s="8">
        <f t="shared" si="7"/>
        <v>-5.3023631679550307E-2</v>
      </c>
    </row>
    <row r="33" spans="1:26" s="70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7">
        <v>219.48</v>
      </c>
      <c r="E33" s="3"/>
      <c r="F33" s="8">
        <f t="shared" si="0"/>
        <v>5.829835113520818E-3</v>
      </c>
      <c r="G33" s="3"/>
      <c r="H33" s="7"/>
      <c r="I33" s="3"/>
      <c r="J33" s="8">
        <f t="shared" si="1"/>
        <v>0</v>
      </c>
      <c r="K33" s="3"/>
      <c r="L33" s="7">
        <f t="shared" si="2"/>
        <v>219.48</v>
      </c>
      <c r="M33" s="3"/>
      <c r="N33" s="8">
        <f t="shared" si="3"/>
        <v>0</v>
      </c>
      <c r="O33" s="12"/>
      <c r="P33" s="7">
        <v>1119.73</v>
      </c>
      <c r="Q33" s="3"/>
      <c r="R33" s="8">
        <f t="shared" si="4"/>
        <v>1.1192740077692347E-2</v>
      </c>
      <c r="S33" s="3"/>
      <c r="T33" s="7"/>
      <c r="U33" s="3"/>
      <c r="V33" s="8">
        <f t="shared" si="5"/>
        <v>0</v>
      </c>
      <c r="W33" s="3"/>
      <c r="X33" s="7">
        <f t="shared" si="6"/>
        <v>1119.73</v>
      </c>
      <c r="Y33" s="3"/>
      <c r="Z33" s="8">
        <f t="shared" si="7"/>
        <v>0</v>
      </c>
    </row>
    <row r="34" spans="1:26" s="69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10161.66</v>
      </c>
      <c r="E34" s="2"/>
      <c r="F34" s="6">
        <f t="shared" si="0"/>
        <v>0.26991435337916875</v>
      </c>
      <c r="G34" s="2"/>
      <c r="H34" s="2">
        <f>SUM(OSRRefH22_1x_0)</f>
        <v>6369.0733500000006</v>
      </c>
      <c r="I34" s="2"/>
      <c r="J34" s="6">
        <f t="shared" si="1"/>
        <v>0.25662086909222775</v>
      </c>
      <c r="K34" s="2"/>
      <c r="L34" s="2">
        <f t="shared" si="2"/>
        <v>3792.5866499999993</v>
      </c>
      <c r="M34" s="2"/>
      <c r="N34" s="6">
        <f t="shared" si="3"/>
        <v>0.59546914308970844</v>
      </c>
      <c r="O34" s="14"/>
      <c r="P34" s="2">
        <f>SUM(OSRRefP22_1x_0)</f>
        <v>37822.79</v>
      </c>
      <c r="Q34" s="2"/>
      <c r="R34" s="6">
        <f t="shared" si="4"/>
        <v>0.37807387270426029</v>
      </c>
      <c r="S34" s="2"/>
      <c r="T34" s="2">
        <f>SUM(OSRRefT22_1x_0)</f>
        <v>40067.01885</v>
      </c>
      <c r="U34" s="2"/>
      <c r="V34" s="6">
        <f t="shared" si="5"/>
        <v>0.28634229884153878</v>
      </c>
      <c r="W34" s="2"/>
      <c r="X34" s="2">
        <f t="shared" si="6"/>
        <v>-2244.2288499999995</v>
      </c>
      <c r="Y34" s="2"/>
      <c r="Z34" s="6">
        <f t="shared" si="7"/>
        <v>-5.6011874963839477E-2</v>
      </c>
    </row>
    <row r="35" spans="1:26" s="70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","6003"," - ","STAFF HOURLY-9 MONTH")</f>
        <v xml:space="preserve">          6003 - STAFF HOURLY-9 MONTH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7">
        <v>6240.77</v>
      </c>
      <c r="E38" s="3"/>
      <c r="F38" s="8">
        <f t="shared" si="0"/>
        <v>0.16576754183254658</v>
      </c>
      <c r="G38" s="3"/>
      <c r="H38" s="7">
        <v>2358.6277500000001</v>
      </c>
      <c r="I38" s="3"/>
      <c r="J38" s="8">
        <f t="shared" si="1"/>
        <v>9.503315000604376E-2</v>
      </c>
      <c r="K38" s="3"/>
      <c r="L38" s="7">
        <f t="shared" si="2"/>
        <v>3882.1422500000003</v>
      </c>
      <c r="M38" s="3"/>
      <c r="N38" s="8">
        <f t="shared" si="3"/>
        <v>1.6459325766857447</v>
      </c>
      <c r="O38" s="12"/>
      <c r="P38" s="7">
        <v>24632.99</v>
      </c>
      <c r="Q38" s="3"/>
      <c r="R38" s="8">
        <f t="shared" si="4"/>
        <v>0.24622958606663645</v>
      </c>
      <c r="S38" s="3"/>
      <c r="T38" s="7">
        <v>16256.93325</v>
      </c>
      <c r="U38" s="3"/>
      <c r="V38" s="8">
        <f t="shared" si="5"/>
        <v>0.1161815321560528</v>
      </c>
      <c r="W38" s="3"/>
      <c r="X38" s="7">
        <f t="shared" si="6"/>
        <v>8376.0567500000016</v>
      </c>
      <c r="Y38" s="3"/>
      <c r="Z38" s="8">
        <f t="shared" si="7"/>
        <v>0.51522981740729001</v>
      </c>
    </row>
    <row r="39" spans="1:26" s="70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>
        <v>638.94000000000005</v>
      </c>
      <c r="Q39" s="3"/>
      <c r="R39" s="8">
        <f t="shared" si="4"/>
        <v>6.3867980184872681E-3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638.94000000000005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7">
        <v>2858.76</v>
      </c>
      <c r="E40" s="3"/>
      <c r="F40" s="8">
        <f t="shared" si="0"/>
        <v>7.5934478900714308E-2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2858.76</v>
      </c>
      <c r="M40" s="3"/>
      <c r="N40" s="8">
        <f t="shared" si="3"/>
        <v>0</v>
      </c>
      <c r="O40" s="12"/>
      <c r="P40" s="7">
        <v>5202</v>
      </c>
      <c r="Q40" s="3"/>
      <c r="R40" s="8">
        <f t="shared" si="4"/>
        <v>5.1998815682490949E-2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5202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7">
        <v>288.88</v>
      </c>
      <c r="E41" s="3"/>
      <c r="F41" s="8">
        <f t="shared" si="0"/>
        <v>7.6732402387183068E-3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288.88</v>
      </c>
      <c r="M41" s="3"/>
      <c r="N41" s="8">
        <f t="shared" si="3"/>
        <v>0</v>
      </c>
      <c r="O41" s="12"/>
      <c r="P41" s="7">
        <v>5623.26</v>
      </c>
      <c r="Q41" s="3"/>
      <c r="R41" s="8">
        <f t="shared" si="4"/>
        <v>5.6209700168151494E-2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5623.26</v>
      </c>
      <c r="Y41" s="3"/>
      <c r="Z41" s="8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7">
        <v>773.25</v>
      </c>
      <c r="E42" s="3"/>
      <c r="F42" s="8">
        <f t="shared" si="0"/>
        <v>2.0539092407189596E-2</v>
      </c>
      <c r="G42" s="3"/>
      <c r="H42" s="7">
        <v>4010.4456</v>
      </c>
      <c r="I42" s="3"/>
      <c r="J42" s="8">
        <f t="shared" si="1"/>
        <v>0.16158771908618397</v>
      </c>
      <c r="K42" s="3"/>
      <c r="L42" s="7">
        <f t="shared" si="2"/>
        <v>-3237.1956</v>
      </c>
      <c r="M42" s="3"/>
      <c r="N42" s="8">
        <f t="shared" si="3"/>
        <v>-0.80719100141889466</v>
      </c>
      <c r="O42" s="12"/>
      <c r="P42" s="7">
        <v>1725.6</v>
      </c>
      <c r="Q42" s="3"/>
      <c r="R42" s="8">
        <f t="shared" si="4"/>
        <v>1.7248972768494113E-2</v>
      </c>
      <c r="S42" s="3"/>
      <c r="T42" s="7">
        <v>23810.085599999999</v>
      </c>
      <c r="U42" s="3"/>
      <c r="V42" s="8">
        <f t="shared" si="5"/>
        <v>0.17016076668548599</v>
      </c>
      <c r="W42" s="3"/>
      <c r="X42" s="7">
        <f t="shared" si="6"/>
        <v>-22084.4856</v>
      </c>
      <c r="Y42" s="3"/>
      <c r="Z42" s="8">
        <f t="shared" si="7"/>
        <v>-0.92752651002649067</v>
      </c>
    </row>
    <row r="43" spans="1:26" s="70" customFormat="1" ht="15" hidden="1" customHeight="1" outlineLevel="2" x14ac:dyDescent="0.3">
      <c r="A43" s="26"/>
      <c r="B43" s="12" t="str">
        <f>CONCATENATE("          ","6009"," - ","TEMPORARY-SEASONAL")</f>
        <v xml:space="preserve">          6009 - TEMPORARY-SEASONAL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","6010"," - ","GRATUITY")</f>
        <v xml:space="preserve">          6010 - GRATUITY</v>
      </c>
      <c r="C44" s="12"/>
      <c r="D44" s="7"/>
      <c r="E44" s="3"/>
      <c r="F44" s="8">
        <f t="shared" si="0"/>
        <v>0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/>
      <c r="Q44" s="3"/>
      <c r="R44" s="8">
        <f t="shared" si="4"/>
        <v>0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0</v>
      </c>
      <c r="Y44" s="3"/>
      <c r="Z44" s="8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0</v>
      </c>
      <c r="E45" s="2"/>
      <c r="F45" s="6">
        <f t="shared" si="0"/>
        <v>0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SUM(OSRRefP22_2x_0)</f>
        <v>487.64</v>
      </c>
      <c r="Q45" s="2"/>
      <c r="R45" s="6">
        <f t="shared" si="4"/>
        <v>4.8744141636697207E-3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487.64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487.64</v>
      </c>
      <c r="Q46" s="3"/>
      <c r="R46" s="8">
        <f t="shared" si="4"/>
        <v>4.8744141636697207E-3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487.64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0.27</v>
      </c>
      <c r="E47" s="2"/>
      <c r="F47" s="6">
        <f t="shared" si="0"/>
        <v>7.1717490461573767E-6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0.27</v>
      </c>
      <c r="M47" s="2"/>
      <c r="N47" s="6">
        <f t="shared" si="3"/>
        <v>0</v>
      </c>
      <c r="O47" s="14"/>
      <c r="P47" s="2">
        <f>SUM(OSRRefP22_3x_0)</f>
        <v>-6.38</v>
      </c>
      <c r="Q47" s="2"/>
      <c r="R47" s="6">
        <f t="shared" si="4"/>
        <v>-6.3774018464877403E-5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-6.38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7">
        <v>0.27</v>
      </c>
      <c r="E48" s="3"/>
      <c r="F48" s="8">
        <f t="shared" si="0"/>
        <v>7.1717490461573767E-6</v>
      </c>
      <c r="G48" s="3"/>
      <c r="H48" s="7"/>
      <c r="I48" s="3"/>
      <c r="J48" s="8">
        <f t="shared" si="1"/>
        <v>0</v>
      </c>
      <c r="K48" s="3"/>
      <c r="L48" s="7">
        <f t="shared" si="2"/>
        <v>0.27</v>
      </c>
      <c r="M48" s="3"/>
      <c r="N48" s="8">
        <f t="shared" si="3"/>
        <v>0</v>
      </c>
      <c r="O48" s="12"/>
      <c r="P48" s="7">
        <v>-6.38</v>
      </c>
      <c r="Q48" s="3"/>
      <c r="R48" s="8">
        <f t="shared" si="4"/>
        <v>-6.3774018464877403E-5</v>
      </c>
      <c r="S48" s="3"/>
      <c r="T48" s="7"/>
      <c r="U48" s="3"/>
      <c r="V48" s="8">
        <f t="shared" si="5"/>
        <v>0</v>
      </c>
      <c r="W48" s="3"/>
      <c r="X48" s="7">
        <f t="shared" si="6"/>
        <v>-6.38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1444.34</v>
      </c>
      <c r="E49" s="2"/>
      <c r="F49" s="6">
        <f t="shared" si="0"/>
        <v>3.8364607471581276E-2</v>
      </c>
      <c r="G49" s="2"/>
      <c r="H49" s="2">
        <f>SUM(OSRRefH22_4x_0)</f>
        <v>846</v>
      </c>
      <c r="I49" s="2"/>
      <c r="J49" s="6">
        <f t="shared" si="1"/>
        <v>3.4086788347636891E-2</v>
      </c>
      <c r="K49" s="2"/>
      <c r="L49" s="2">
        <f t="shared" si="2"/>
        <v>598.33999999999992</v>
      </c>
      <c r="M49" s="2"/>
      <c r="N49" s="6">
        <f t="shared" si="3"/>
        <v>0.70725768321512994</v>
      </c>
      <c r="O49" s="14"/>
      <c r="P49" s="2">
        <f>SUM(OSRRefP22_4x_0)</f>
        <v>4352.2700000000004</v>
      </c>
      <c r="Q49" s="2"/>
      <c r="R49" s="6">
        <f t="shared" si="4"/>
        <v>4.3504976072747961E-2</v>
      </c>
      <c r="S49" s="2"/>
      <c r="T49" s="2">
        <f>SUM(OSRRefT22_4x_0)</f>
        <v>4772</v>
      </c>
      <c r="U49" s="2"/>
      <c r="V49" s="6">
        <f t="shared" si="5"/>
        <v>3.4103496823343599E-2</v>
      </c>
      <c r="W49" s="2"/>
      <c r="X49" s="2">
        <f t="shared" si="6"/>
        <v>-419.72999999999956</v>
      </c>
      <c r="Y49" s="2"/>
      <c r="Z49" s="6">
        <f t="shared" si="7"/>
        <v>-8.7956831517183476E-2</v>
      </c>
    </row>
    <row r="50" spans="1:26" s="70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7">
        <v>1444.34</v>
      </c>
      <c r="E50" s="3"/>
      <c r="F50" s="8">
        <f t="shared" si="0"/>
        <v>3.8364607471581276E-2</v>
      </c>
      <c r="G50" s="3"/>
      <c r="H50" s="7">
        <v>846</v>
      </c>
      <c r="I50" s="3"/>
      <c r="J50" s="8">
        <f t="shared" si="1"/>
        <v>3.4086788347636891E-2</v>
      </c>
      <c r="K50" s="3"/>
      <c r="L50" s="7">
        <f t="shared" si="2"/>
        <v>598.33999999999992</v>
      </c>
      <c r="M50" s="3"/>
      <c r="N50" s="8">
        <f t="shared" si="3"/>
        <v>0.70725768321512994</v>
      </c>
      <c r="O50" s="12"/>
      <c r="P50" s="7">
        <v>4352.2700000000004</v>
      </c>
      <c r="Q50" s="3"/>
      <c r="R50" s="8">
        <f t="shared" si="4"/>
        <v>4.3504976072747961E-2</v>
      </c>
      <c r="S50" s="3"/>
      <c r="T50" s="7">
        <v>4772</v>
      </c>
      <c r="U50" s="3"/>
      <c r="V50" s="8">
        <f t="shared" si="5"/>
        <v>3.4103496823343599E-2</v>
      </c>
      <c r="W50" s="3"/>
      <c r="X50" s="7">
        <f t="shared" si="6"/>
        <v>-419.72999999999956</v>
      </c>
      <c r="Y50" s="3"/>
      <c r="Z50" s="8">
        <f t="shared" si="7"/>
        <v>-8.7956831517183476E-2</v>
      </c>
    </row>
    <row r="51" spans="1:26" s="69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264.60000000000002</v>
      </c>
      <c r="E51" s="2"/>
      <c r="F51" s="6">
        <f t="shared" si="0"/>
        <v>7.0283140652342294E-3</v>
      </c>
      <c r="G51" s="2"/>
      <c r="H51" s="2">
        <f>SUM(OSRRefH22_5x_0)</f>
        <v>265</v>
      </c>
      <c r="I51" s="2"/>
      <c r="J51" s="6">
        <f t="shared" si="1"/>
        <v>1.0677303678633305E-2</v>
      </c>
      <c r="K51" s="2"/>
      <c r="L51" s="2">
        <f t="shared" si="2"/>
        <v>-0.39999999999997726</v>
      </c>
      <c r="M51" s="2"/>
      <c r="N51" s="6">
        <f t="shared" si="3"/>
        <v>-1.5094339622640652E-3</v>
      </c>
      <c r="O51" s="14"/>
      <c r="P51" s="2">
        <f>SUM(OSRRefP22_5x_0)</f>
        <v>5078.3599999999997</v>
      </c>
      <c r="Q51" s="2"/>
      <c r="R51" s="6">
        <f t="shared" si="4"/>
        <v>5.0762919186723321E-2</v>
      </c>
      <c r="S51" s="2"/>
      <c r="T51" s="2">
        <f>SUM(OSRRefT22_5x_0)</f>
        <v>5080</v>
      </c>
      <c r="U51" s="2"/>
      <c r="V51" s="6">
        <f t="shared" si="5"/>
        <v>3.630464456466586E-2</v>
      </c>
      <c r="W51" s="2"/>
      <c r="X51" s="2">
        <f t="shared" si="6"/>
        <v>-1.6400000000003274</v>
      </c>
      <c r="Y51" s="2"/>
      <c r="Z51" s="6">
        <f t="shared" si="7"/>
        <v>-3.228346456693558E-4</v>
      </c>
    </row>
    <row r="52" spans="1:26" s="70" customFormat="1" ht="15" hidden="1" customHeight="1" outlineLevel="2" x14ac:dyDescent="0.3">
      <c r="A52" s="26"/>
      <c r="B52" s="12" t="str">
        <f>CONCATENATE("          ","6322"," - ","EQUIPMENT DEPRECIATION EXPENSE")</f>
        <v xml:space="preserve">          6322 - EQUIPMENT DEPRECIATION EXPENSE</v>
      </c>
      <c r="C52" s="12"/>
      <c r="D52" s="7">
        <v>264.60000000000002</v>
      </c>
      <c r="E52" s="3"/>
      <c r="F52" s="8">
        <f t="shared" si="0"/>
        <v>7.0283140652342294E-3</v>
      </c>
      <c r="G52" s="3"/>
      <c r="H52" s="7">
        <v>265</v>
      </c>
      <c r="I52" s="3"/>
      <c r="J52" s="8">
        <f t="shared" si="1"/>
        <v>1.0677303678633305E-2</v>
      </c>
      <c r="K52" s="3"/>
      <c r="L52" s="7">
        <f t="shared" si="2"/>
        <v>-0.39999999999997726</v>
      </c>
      <c r="M52" s="3"/>
      <c r="N52" s="8">
        <f t="shared" si="3"/>
        <v>-1.5094339622640652E-3</v>
      </c>
      <c r="O52" s="12"/>
      <c r="P52" s="7">
        <v>5078.3599999999997</v>
      </c>
      <c r="Q52" s="3"/>
      <c r="R52" s="8">
        <f t="shared" si="4"/>
        <v>5.0762919186723321E-2</v>
      </c>
      <c r="S52" s="3"/>
      <c r="T52" s="7">
        <v>5080</v>
      </c>
      <c r="U52" s="3"/>
      <c r="V52" s="8">
        <f t="shared" si="5"/>
        <v>3.630464456466586E-2</v>
      </c>
      <c r="W52" s="3"/>
      <c r="X52" s="7">
        <f t="shared" si="6"/>
        <v>-1.6400000000003274</v>
      </c>
      <c r="Y52" s="3"/>
      <c r="Z52" s="8">
        <f t="shared" si="7"/>
        <v>-3.228346456693558E-4</v>
      </c>
    </row>
    <row r="53" spans="1:26" s="69" customFormat="1" ht="15" customHeight="1" outlineLevel="1" collapsed="1" x14ac:dyDescent="0.3">
      <c r="A53" s="25"/>
      <c r="B53" s="14" t="str">
        <f>CONCATENATE("     ","General                                           ")</f>
        <v xml:space="preserve">     General                                           </v>
      </c>
      <c r="C53" s="14"/>
      <c r="D53" s="2">
        <f>SUM(OSRRefD22_6x_0)</f>
        <v>0</v>
      </c>
      <c r="E53" s="2"/>
      <c r="F53" s="6">
        <f t="shared" si="0"/>
        <v>0</v>
      </c>
      <c r="G53" s="2"/>
      <c r="H53" s="2">
        <f>SUM(OSRRefH22_6x_0)</f>
        <v>0</v>
      </c>
      <c r="I53" s="2"/>
      <c r="J53" s="6">
        <f t="shared" si="1"/>
        <v>0</v>
      </c>
      <c r="K53" s="2"/>
      <c r="L53" s="2">
        <f t="shared" si="2"/>
        <v>0</v>
      </c>
      <c r="M53" s="2"/>
      <c r="N53" s="6">
        <f t="shared" si="3"/>
        <v>0</v>
      </c>
      <c r="O53" s="14"/>
      <c r="P53" s="2">
        <f>SUM(OSRRefP22_6x_0)</f>
        <v>1153.93</v>
      </c>
      <c r="Q53" s="2"/>
      <c r="R53" s="6">
        <f t="shared" si="4"/>
        <v>1.15346008036326E-2</v>
      </c>
      <c r="S53" s="2"/>
      <c r="T53" s="2">
        <f>SUM(OSRRefT22_6x_0)</f>
        <v>755</v>
      </c>
      <c r="U53" s="2"/>
      <c r="V53" s="6">
        <f t="shared" si="5"/>
        <v>5.3956705996698277E-3</v>
      </c>
      <c r="W53" s="2"/>
      <c r="X53" s="2">
        <f t="shared" si="6"/>
        <v>398.93000000000006</v>
      </c>
      <c r="Y53" s="2"/>
      <c r="Z53" s="6">
        <f t="shared" si="7"/>
        <v>0.52838410596026497</v>
      </c>
    </row>
    <row r="54" spans="1:26" s="70" customFormat="1" ht="15" hidden="1" customHeight="1" outlineLevel="2" x14ac:dyDescent="0.3">
      <c r="A54" s="26"/>
      <c r="B54" s="12" t="str">
        <f>CONCATENATE("          ","6279"," - ","GENERAL EXPENSE")</f>
        <v xml:space="preserve">          6279 - GENERAL EXPENSE</v>
      </c>
      <c r="C54" s="12"/>
      <c r="D54" s="7"/>
      <c r="E54" s="3"/>
      <c r="F54" s="8">
        <f t="shared" ref="F54:F73" si="8">IF(D$12=0,0,D54/D$12)</f>
        <v>0</v>
      </c>
      <c r="G54" s="3"/>
      <c r="H54" s="7"/>
      <c r="I54" s="3"/>
      <c r="J54" s="8">
        <f t="shared" ref="J54:J73" si="9">IF(H$12=0,0,H54/H$12)</f>
        <v>0</v>
      </c>
      <c r="K54" s="3"/>
      <c r="L54" s="7">
        <f t="shared" ref="L54:L73" si="10">+D54-H54</f>
        <v>0</v>
      </c>
      <c r="M54" s="3"/>
      <c r="N54" s="8">
        <f t="shared" ref="N54:N73" si="11">IF(H54=0,0,L54/H54)</f>
        <v>0</v>
      </c>
      <c r="O54" s="12"/>
      <c r="P54" s="7">
        <v>1153.93</v>
      </c>
      <c r="Q54" s="3"/>
      <c r="R54" s="8">
        <f t="shared" ref="R54:R73" si="12">IF(P$12=0,0,P54/P$12)</f>
        <v>1.15346008036326E-2</v>
      </c>
      <c r="S54" s="3"/>
      <c r="T54" s="7">
        <v>755</v>
      </c>
      <c r="U54" s="3"/>
      <c r="V54" s="8">
        <f t="shared" ref="V54:V73" si="13">IF(T$12=0,0,T54/T$12)</f>
        <v>5.3956705996698277E-3</v>
      </c>
      <c r="W54" s="3"/>
      <c r="X54" s="7">
        <f t="shared" ref="X54:X73" si="14">+P54-T54</f>
        <v>398.93000000000006</v>
      </c>
      <c r="Y54" s="3"/>
      <c r="Z54" s="8">
        <f t="shared" ref="Z54:Z73" si="15">IF(T54=0,0,X54/T54)</f>
        <v>0.52838410596026497</v>
      </c>
    </row>
    <row r="55" spans="1:26" s="69" customFormat="1" ht="15" customHeight="1" outlineLevel="1" collapsed="1" x14ac:dyDescent="0.3">
      <c r="A55" s="25"/>
      <c r="B55" s="14" t="str">
        <f>CONCATENATE("     ","Repair and Maintenance                            ")</f>
        <v xml:space="preserve">     Repair and Maintenance                            </v>
      </c>
      <c r="C55" s="14"/>
      <c r="D55" s="2">
        <f>SUM(OSRRefD22_7x_0)</f>
        <v>7.87</v>
      </c>
      <c r="E55" s="2"/>
      <c r="F55" s="6">
        <f t="shared" si="8"/>
        <v>2.090432036787354E-4</v>
      </c>
      <c r="G55" s="2"/>
      <c r="H55" s="2">
        <f>SUM(OSRRefH22_7x_0)</f>
        <v>265</v>
      </c>
      <c r="I55" s="2"/>
      <c r="J55" s="6">
        <f t="shared" si="9"/>
        <v>1.0677303678633305E-2</v>
      </c>
      <c r="K55" s="2"/>
      <c r="L55" s="2">
        <f t="shared" si="10"/>
        <v>-257.13</v>
      </c>
      <c r="M55" s="2"/>
      <c r="N55" s="6">
        <f t="shared" si="11"/>
        <v>-0.97030188679245277</v>
      </c>
      <c r="O55" s="14"/>
      <c r="P55" s="2">
        <f>SUM(OSRRefP22_7x_0)</f>
        <v>1743.29</v>
      </c>
      <c r="Q55" s="2"/>
      <c r="R55" s="6">
        <f t="shared" si="12"/>
        <v>1.7425800728783091E-2</v>
      </c>
      <c r="S55" s="2"/>
      <c r="T55" s="2">
        <f>SUM(OSRRefT22_7x_0)</f>
        <v>2164</v>
      </c>
      <c r="U55" s="2"/>
      <c r="V55" s="6">
        <f t="shared" si="13"/>
        <v>1.54652068578616E-2</v>
      </c>
      <c r="W55" s="2"/>
      <c r="X55" s="2">
        <f t="shared" si="14"/>
        <v>-420.71000000000004</v>
      </c>
      <c r="Y55" s="2"/>
      <c r="Z55" s="6">
        <f t="shared" si="15"/>
        <v>-0.194413123844732</v>
      </c>
    </row>
    <row r="56" spans="1:26" s="70" customFormat="1" ht="15" hidden="1" customHeight="1" outlineLevel="2" x14ac:dyDescent="0.3">
      <c r="A56" s="26"/>
      <c r="B56" s="12" t="str">
        <f>CONCATENATE("          ","6373"," - ","MAINTENANCE CONTRACTS")</f>
        <v xml:space="preserve">          6373 - MAINTENANCE CONTRACTS</v>
      </c>
      <c r="C56" s="12"/>
      <c r="D56" s="7"/>
      <c r="E56" s="3"/>
      <c r="F56" s="8">
        <f t="shared" si="8"/>
        <v>0</v>
      </c>
      <c r="G56" s="3"/>
      <c r="H56" s="7">
        <v>150</v>
      </c>
      <c r="I56" s="3"/>
      <c r="J56" s="8">
        <f t="shared" si="9"/>
        <v>6.0437567992263994E-3</v>
      </c>
      <c r="K56" s="3"/>
      <c r="L56" s="7">
        <f t="shared" si="10"/>
        <v>-150</v>
      </c>
      <c r="M56" s="3"/>
      <c r="N56" s="8">
        <f t="shared" si="11"/>
        <v>-1</v>
      </c>
      <c r="O56" s="12"/>
      <c r="P56" s="7">
        <v>147.76</v>
      </c>
      <c r="Q56" s="3"/>
      <c r="R56" s="8">
        <f t="shared" si="12"/>
        <v>1.4769982709044334E-3</v>
      </c>
      <c r="S56" s="3"/>
      <c r="T56" s="7">
        <v>1014</v>
      </c>
      <c r="U56" s="3"/>
      <c r="V56" s="8">
        <f t="shared" si="13"/>
        <v>7.2466357457817293E-3</v>
      </c>
      <c r="W56" s="3"/>
      <c r="X56" s="7">
        <f t="shared" si="14"/>
        <v>-866.24</v>
      </c>
      <c r="Y56" s="3"/>
      <c r="Z56" s="8">
        <f t="shared" si="15"/>
        <v>-0.85428007889546353</v>
      </c>
    </row>
    <row r="57" spans="1:26" s="70" customFormat="1" ht="15" hidden="1" customHeight="1" outlineLevel="2" x14ac:dyDescent="0.3">
      <c r="A57" s="26"/>
      <c r="B57" s="12" t="str">
        <f>CONCATENATE("          ","6375"," - ","OUTSIDE REPAIRS &amp; MAINTENANCE")</f>
        <v xml:space="preserve">          6375 - OUTSIDE REPAIRS &amp; MAINTENANCE</v>
      </c>
      <c r="C57" s="12"/>
      <c r="D57" s="7">
        <v>7.87</v>
      </c>
      <c r="E57" s="3"/>
      <c r="F57" s="8">
        <f t="shared" si="8"/>
        <v>2.090432036787354E-4</v>
      </c>
      <c r="G57" s="3"/>
      <c r="H57" s="7">
        <v>115</v>
      </c>
      <c r="I57" s="3"/>
      <c r="J57" s="8">
        <f t="shared" si="9"/>
        <v>4.6335468794069063E-3</v>
      </c>
      <c r="K57" s="3"/>
      <c r="L57" s="7">
        <f t="shared" si="10"/>
        <v>-107.13</v>
      </c>
      <c r="M57" s="3"/>
      <c r="N57" s="8">
        <f t="shared" si="11"/>
        <v>-0.93156521739130427</v>
      </c>
      <c r="O57" s="12"/>
      <c r="P57" s="7">
        <v>1595.53</v>
      </c>
      <c r="Q57" s="3"/>
      <c r="R57" s="8">
        <f t="shared" si="12"/>
        <v>1.594880245787866E-2</v>
      </c>
      <c r="S57" s="3"/>
      <c r="T57" s="7">
        <v>1150</v>
      </c>
      <c r="U57" s="3"/>
      <c r="V57" s="8">
        <f t="shared" si="13"/>
        <v>8.2185711120798706E-3</v>
      </c>
      <c r="W57" s="3"/>
      <c r="X57" s="7">
        <f t="shared" si="14"/>
        <v>445.53</v>
      </c>
      <c r="Y57" s="3"/>
      <c r="Z57" s="8">
        <f t="shared" si="15"/>
        <v>0.38741739130434782</v>
      </c>
    </row>
    <row r="58" spans="1:26" s="69" customFormat="1" ht="15" customHeight="1" outlineLevel="1" collapsed="1" x14ac:dyDescent="0.3">
      <c r="A58" s="25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2">
        <f>SUM(OSRRefD22_8x_0)</f>
        <v>4367.51</v>
      </c>
      <c r="E58" s="2"/>
      <c r="F58" s="6">
        <f t="shared" si="8"/>
        <v>0.11600994695030668</v>
      </c>
      <c r="G58" s="2"/>
      <c r="H58" s="2">
        <f>SUM(OSRRefH22_8x_0)</f>
        <v>2234</v>
      </c>
      <c r="I58" s="2"/>
      <c r="J58" s="6">
        <f t="shared" si="9"/>
        <v>9.00116845964785E-2</v>
      </c>
      <c r="K58" s="2"/>
      <c r="L58" s="2">
        <f t="shared" si="10"/>
        <v>2133.5100000000002</v>
      </c>
      <c r="M58" s="2"/>
      <c r="N58" s="6">
        <f t="shared" si="11"/>
        <v>0.95501790510295448</v>
      </c>
      <c r="O58" s="14"/>
      <c r="P58" s="2">
        <f>SUM(OSRRefP22_8x_0)</f>
        <v>4367.51</v>
      </c>
      <c r="Q58" s="2"/>
      <c r="R58" s="6">
        <f t="shared" si="12"/>
        <v>4.3657314010272216E-2</v>
      </c>
      <c r="S58" s="2"/>
      <c r="T58" s="2">
        <f>SUM(OSRRefT22_8x_0)</f>
        <v>12595</v>
      </c>
      <c r="U58" s="2"/>
      <c r="V58" s="6">
        <f t="shared" si="13"/>
        <v>9.0011220136213876E-2</v>
      </c>
      <c r="W58" s="2"/>
      <c r="X58" s="2">
        <f t="shared" si="14"/>
        <v>-8227.49</v>
      </c>
      <c r="Y58" s="2"/>
      <c r="Z58" s="6">
        <f t="shared" si="15"/>
        <v>-0.65323461691147278</v>
      </c>
    </row>
    <row r="59" spans="1:26" s="70" customFormat="1" ht="15" hidden="1" customHeight="1" outlineLevel="2" x14ac:dyDescent="0.3">
      <c r="A59" s="26"/>
      <c r="B59" s="12" t="str">
        <f>CONCATENATE("          ","6254"," - ","ROYALTY &amp; COMMISSIONS")</f>
        <v xml:space="preserve">          6254 - ROYALTY &amp; COMMISSIONS</v>
      </c>
      <c r="C59" s="12"/>
      <c r="D59" s="7">
        <v>4367.51</v>
      </c>
      <c r="E59" s="3"/>
      <c r="F59" s="8">
        <f t="shared" si="8"/>
        <v>0.11600994695030668</v>
      </c>
      <c r="G59" s="3"/>
      <c r="H59" s="7"/>
      <c r="I59" s="3"/>
      <c r="J59" s="8">
        <f t="shared" si="9"/>
        <v>0</v>
      </c>
      <c r="K59" s="3"/>
      <c r="L59" s="7">
        <f t="shared" si="10"/>
        <v>4367.51</v>
      </c>
      <c r="M59" s="3"/>
      <c r="N59" s="8">
        <f t="shared" si="11"/>
        <v>0</v>
      </c>
      <c r="O59" s="12"/>
      <c r="P59" s="7">
        <v>4367.51</v>
      </c>
      <c r="Q59" s="3"/>
      <c r="R59" s="8">
        <f t="shared" si="12"/>
        <v>4.3657314010272216E-2</v>
      </c>
      <c r="S59" s="3"/>
      <c r="T59" s="7"/>
      <c r="U59" s="3"/>
      <c r="V59" s="8">
        <f t="shared" si="13"/>
        <v>0</v>
      </c>
      <c r="W59" s="3"/>
      <c r="X59" s="7">
        <f t="shared" si="14"/>
        <v>4367.51</v>
      </c>
      <c r="Y59" s="3"/>
      <c r="Z59" s="8">
        <f t="shared" si="15"/>
        <v>0</v>
      </c>
    </row>
    <row r="60" spans="1:26" s="70" customFormat="1" ht="15" hidden="1" customHeight="1" outlineLevel="2" x14ac:dyDescent="0.3">
      <c r="A60" s="26"/>
      <c r="B60" s="12" t="str">
        <f>CONCATENATE("          ","6259"," - ","ROYALTY &amp; COMMISSIONS")</f>
        <v xml:space="preserve">          6259 - ROYALTY &amp; COMMISSIONS</v>
      </c>
      <c r="C60" s="12"/>
      <c r="D60" s="7"/>
      <c r="E60" s="3"/>
      <c r="F60" s="8">
        <f t="shared" si="8"/>
        <v>0</v>
      </c>
      <c r="G60" s="3"/>
      <c r="H60" s="7">
        <v>2234</v>
      </c>
      <c r="I60" s="3"/>
      <c r="J60" s="8">
        <f t="shared" si="9"/>
        <v>9.00116845964785E-2</v>
      </c>
      <c r="K60" s="3"/>
      <c r="L60" s="7">
        <f t="shared" si="10"/>
        <v>-2234</v>
      </c>
      <c r="M60" s="3"/>
      <c r="N60" s="8">
        <f t="shared" si="11"/>
        <v>-1</v>
      </c>
      <c r="O60" s="12"/>
      <c r="P60" s="7"/>
      <c r="Q60" s="3"/>
      <c r="R60" s="8">
        <f t="shared" si="12"/>
        <v>0</v>
      </c>
      <c r="S60" s="3"/>
      <c r="T60" s="7">
        <v>12595</v>
      </c>
      <c r="U60" s="3"/>
      <c r="V60" s="8">
        <f t="shared" si="13"/>
        <v>9.0011220136213876E-2</v>
      </c>
      <c r="W60" s="3"/>
      <c r="X60" s="7">
        <f t="shared" si="14"/>
        <v>-12595</v>
      </c>
      <c r="Y60" s="3"/>
      <c r="Z60" s="8">
        <f t="shared" si="15"/>
        <v>-1</v>
      </c>
    </row>
    <row r="61" spans="1:26" s="69" customFormat="1" ht="15" customHeight="1" outlineLevel="1" collapsed="1" x14ac:dyDescent="0.3">
      <c r="A61" s="25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SUM(OSRRefD22_9x_0)</f>
        <v>158.76</v>
      </c>
      <c r="E61" s="2"/>
      <c r="F61" s="6">
        <f t="shared" si="8"/>
        <v>4.2169884391405369E-3</v>
      </c>
      <c r="G61" s="2"/>
      <c r="H61" s="2">
        <f>SUM(OSRRefH22_9x_0)</f>
        <v>100</v>
      </c>
      <c r="I61" s="2"/>
      <c r="J61" s="6">
        <f t="shared" si="9"/>
        <v>4.0291711994842657E-3</v>
      </c>
      <c r="K61" s="2"/>
      <c r="L61" s="2">
        <f t="shared" si="10"/>
        <v>58.759999999999991</v>
      </c>
      <c r="M61" s="2"/>
      <c r="N61" s="6">
        <f t="shared" si="11"/>
        <v>0.5875999999999999</v>
      </c>
      <c r="O61" s="14"/>
      <c r="P61" s="2">
        <f>SUM(OSRRefP22_9x_0)</f>
        <v>422.24</v>
      </c>
      <c r="Q61" s="2"/>
      <c r="R61" s="6">
        <f t="shared" si="12"/>
        <v>4.2206804947664319E-3</v>
      </c>
      <c r="S61" s="2"/>
      <c r="T61" s="2">
        <f>SUM(OSRRefT22_9x_0)</f>
        <v>900</v>
      </c>
      <c r="U61" s="2"/>
      <c r="V61" s="6">
        <f t="shared" si="13"/>
        <v>6.4319252181494636E-3</v>
      </c>
      <c r="W61" s="2"/>
      <c r="X61" s="2">
        <f t="shared" si="14"/>
        <v>-477.76</v>
      </c>
      <c r="Y61" s="2"/>
      <c r="Z61" s="6">
        <f t="shared" si="15"/>
        <v>-0.53084444444444445</v>
      </c>
    </row>
    <row r="62" spans="1:26" s="70" customFormat="1" ht="15" hidden="1" customHeight="1" outlineLevel="2" x14ac:dyDescent="0.3">
      <c r="A62" s="26"/>
      <c r="B62" s="12" t="str">
        <f>CONCATENATE("          ","6282"," - ","JANITORIAL/EXTERMINATOR EXPENS")</f>
        <v xml:space="preserve">          6282 - JANITORIAL/EXTERMINATOR EXPENS</v>
      </c>
      <c r="C62" s="12"/>
      <c r="D62" s="7"/>
      <c r="E62" s="3"/>
      <c r="F62" s="8">
        <f t="shared" si="8"/>
        <v>0</v>
      </c>
      <c r="G62" s="3"/>
      <c r="H62" s="7">
        <v>100</v>
      </c>
      <c r="I62" s="3"/>
      <c r="J62" s="8">
        <f t="shared" si="9"/>
        <v>4.0291711994842657E-3</v>
      </c>
      <c r="K62" s="3"/>
      <c r="L62" s="7">
        <f t="shared" si="10"/>
        <v>-100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900</v>
      </c>
      <c r="U62" s="3"/>
      <c r="V62" s="8">
        <f t="shared" si="13"/>
        <v>6.4319252181494636E-3</v>
      </c>
      <c r="W62" s="3"/>
      <c r="X62" s="7">
        <f t="shared" si="14"/>
        <v>-900</v>
      </c>
      <c r="Y62" s="3"/>
      <c r="Z62" s="8">
        <f t="shared" si="15"/>
        <v>-1</v>
      </c>
    </row>
    <row r="63" spans="1:26" s="70" customFormat="1" ht="15" hidden="1" customHeight="1" outlineLevel="2" x14ac:dyDescent="0.3">
      <c r="A63" s="26"/>
      <c r="B63" s="12" t="str">
        <f>CONCATENATE("          ","6285"," - ","JANITORIAL SERVICES")</f>
        <v xml:space="preserve">          6285 - JANITORIAL SERVICES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>
        <v>206.4</v>
      </c>
      <c r="Q63" s="3"/>
      <c r="R63" s="8">
        <f t="shared" si="12"/>
        <v>2.0631594688323976E-3</v>
      </c>
      <c r="S63" s="3"/>
      <c r="T63" s="7"/>
      <c r="U63" s="3"/>
      <c r="V63" s="8">
        <f t="shared" si="13"/>
        <v>0</v>
      </c>
      <c r="W63" s="3"/>
      <c r="X63" s="7">
        <f t="shared" si="14"/>
        <v>206.4</v>
      </c>
      <c r="Y63" s="3"/>
      <c r="Z63" s="8">
        <f t="shared" si="15"/>
        <v>0</v>
      </c>
    </row>
    <row r="64" spans="1:26" s="70" customFormat="1" ht="15" hidden="1" customHeight="1" outlineLevel="2" x14ac:dyDescent="0.3">
      <c r="A64" s="26"/>
      <c r="B64" s="12" t="str">
        <f>CONCATENATE("          ","6286"," - ","LAUNDRY EXPENSE")</f>
        <v xml:space="preserve">          6286 - LAUNDRY EXPENSE</v>
      </c>
      <c r="C64" s="12"/>
      <c r="D64" s="7">
        <v>158.76</v>
      </c>
      <c r="E64" s="3"/>
      <c r="F64" s="8">
        <f t="shared" si="8"/>
        <v>4.2169884391405369E-3</v>
      </c>
      <c r="G64" s="3"/>
      <c r="H64" s="7"/>
      <c r="I64" s="3"/>
      <c r="J64" s="8">
        <f t="shared" si="9"/>
        <v>0</v>
      </c>
      <c r="K64" s="3"/>
      <c r="L64" s="7">
        <f t="shared" si="10"/>
        <v>158.76</v>
      </c>
      <c r="M64" s="3"/>
      <c r="N64" s="8">
        <f t="shared" si="11"/>
        <v>0</v>
      </c>
      <c r="O64" s="12"/>
      <c r="P64" s="7">
        <v>215.84</v>
      </c>
      <c r="Q64" s="3"/>
      <c r="R64" s="8">
        <f t="shared" si="12"/>
        <v>2.1575210259340344E-3</v>
      </c>
      <c r="S64" s="3"/>
      <c r="T64" s="7"/>
      <c r="U64" s="3"/>
      <c r="V64" s="8">
        <f t="shared" si="13"/>
        <v>0</v>
      </c>
      <c r="W64" s="3"/>
      <c r="X64" s="7">
        <f t="shared" si="14"/>
        <v>215.84</v>
      </c>
      <c r="Y64" s="3"/>
      <c r="Z64" s="8">
        <f t="shared" si="15"/>
        <v>0</v>
      </c>
    </row>
    <row r="65" spans="1:26" s="69" customFormat="1" ht="15" customHeight="1" outlineLevel="1" collapsed="1" x14ac:dyDescent="0.3">
      <c r="A65" s="25"/>
      <c r="B65" s="14" t="str">
        <f>CONCATENATE("     ","Supplies                                          ")</f>
        <v xml:space="preserve">     Supplies                                          </v>
      </c>
      <c r="C65" s="14"/>
      <c r="D65" s="2">
        <f>SUM(OSRRefD22_10x_0)</f>
        <v>-23.33</v>
      </c>
      <c r="E65" s="2"/>
      <c r="F65" s="6">
        <f t="shared" si="8"/>
        <v>-6.1969224165500582E-4</v>
      </c>
      <c r="G65" s="2"/>
      <c r="H65" s="2">
        <f>SUM(OSRRefH22_10x_0)</f>
        <v>800</v>
      </c>
      <c r="I65" s="2"/>
      <c r="J65" s="6">
        <f t="shared" si="9"/>
        <v>3.2233369595874126E-2</v>
      </c>
      <c r="K65" s="2"/>
      <c r="L65" s="2">
        <f t="shared" si="10"/>
        <v>-823.33</v>
      </c>
      <c r="M65" s="2"/>
      <c r="N65" s="6">
        <f t="shared" si="11"/>
        <v>-1.0291625</v>
      </c>
      <c r="O65" s="14"/>
      <c r="P65" s="2">
        <f>SUM(OSRRefP22_10x_0)</f>
        <v>1529.5</v>
      </c>
      <c r="Q65" s="2"/>
      <c r="R65" s="6">
        <f t="shared" si="12"/>
        <v>1.5288771354550156E-2</v>
      </c>
      <c r="S65" s="2"/>
      <c r="T65" s="2">
        <f>SUM(OSRRefT22_10x_0)</f>
        <v>8600</v>
      </c>
      <c r="U65" s="2"/>
      <c r="V65" s="6">
        <f t="shared" si="13"/>
        <v>6.1460618751205988E-2</v>
      </c>
      <c r="W65" s="2"/>
      <c r="X65" s="2">
        <f t="shared" si="14"/>
        <v>-7070.5</v>
      </c>
      <c r="Y65" s="2"/>
      <c r="Z65" s="6">
        <f t="shared" si="15"/>
        <v>-0.82215116279069766</v>
      </c>
    </row>
    <row r="66" spans="1:26" s="70" customFormat="1" ht="15" hidden="1" customHeight="1" outlineLevel="2" x14ac:dyDescent="0.3">
      <c r="A66" s="26"/>
      <c r="B66" s="12" t="str">
        <f>CONCATENATE("          ","6234"," - ","EXPENDABLE SUPPLIES &amp; EQUIPMEN")</f>
        <v xml:space="preserve">          6234 - EXPENDABLE SUPPLIES &amp; EQUIPMEN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1194.8900000000001</v>
      </c>
      <c r="Q66" s="3"/>
      <c r="R66" s="8">
        <f t="shared" si="12"/>
        <v>1.1944034000548177E-2</v>
      </c>
      <c r="S66" s="3"/>
      <c r="T66" s="7"/>
      <c r="U66" s="3"/>
      <c r="V66" s="8">
        <f t="shared" si="13"/>
        <v>0</v>
      </c>
      <c r="W66" s="3"/>
      <c r="X66" s="7">
        <f t="shared" si="14"/>
        <v>1194.8900000000001</v>
      </c>
      <c r="Y66" s="3"/>
      <c r="Z66" s="8">
        <f t="shared" si="15"/>
        <v>0</v>
      </c>
    </row>
    <row r="67" spans="1:26" s="70" customFormat="1" ht="15" hidden="1" customHeight="1" outlineLevel="2" x14ac:dyDescent="0.3">
      <c r="A67" s="26"/>
      <c r="B67" s="12" t="str">
        <f>CONCATENATE("          ","6237"," - ","JANITORIAL SUPPLIES")</f>
        <v xml:space="preserve">          6237 - JANITORIAL SUPPLIES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-51.66</v>
      </c>
      <c r="Q67" s="3"/>
      <c r="R67" s="8">
        <f t="shared" si="12"/>
        <v>-5.1638962286764366E-4</v>
      </c>
      <c r="S67" s="3"/>
      <c r="T67" s="7"/>
      <c r="U67" s="3"/>
      <c r="V67" s="8">
        <f t="shared" si="13"/>
        <v>0</v>
      </c>
      <c r="W67" s="3"/>
      <c r="X67" s="7">
        <f t="shared" si="14"/>
        <v>-51.66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","6241"," - ","OFFICE EXPENSE")</f>
        <v xml:space="preserve">          6241 - OFFICE EXPENSE</v>
      </c>
      <c r="C68" s="12"/>
      <c r="D68" s="7"/>
      <c r="E68" s="3"/>
      <c r="F68" s="8">
        <f t="shared" si="8"/>
        <v>0</v>
      </c>
      <c r="G68" s="3"/>
      <c r="H68" s="7"/>
      <c r="I68" s="3"/>
      <c r="J68" s="8">
        <f t="shared" si="9"/>
        <v>0</v>
      </c>
      <c r="K68" s="3"/>
      <c r="L68" s="7">
        <f t="shared" si="10"/>
        <v>0</v>
      </c>
      <c r="M68" s="3"/>
      <c r="N68" s="8">
        <f t="shared" si="11"/>
        <v>0</v>
      </c>
      <c r="O68" s="12"/>
      <c r="P68" s="7">
        <v>19.940000000000001</v>
      </c>
      <c r="Q68" s="3"/>
      <c r="R68" s="8">
        <f t="shared" si="12"/>
        <v>1.993187975218896E-4</v>
      </c>
      <c r="S68" s="3"/>
      <c r="T68" s="7"/>
      <c r="U68" s="3"/>
      <c r="V68" s="8">
        <f t="shared" si="13"/>
        <v>0</v>
      </c>
      <c r="W68" s="3"/>
      <c r="X68" s="7">
        <f t="shared" si="14"/>
        <v>19.940000000000001</v>
      </c>
      <c r="Y68" s="3"/>
      <c r="Z68" s="8">
        <f t="shared" si="15"/>
        <v>0</v>
      </c>
    </row>
    <row r="69" spans="1:26" s="70" customFormat="1" ht="15" hidden="1" customHeight="1" outlineLevel="2" x14ac:dyDescent="0.3">
      <c r="A69" s="26"/>
      <c r="B69" s="12" t="str">
        <f>CONCATENATE("          ","6247"," - ","STORE SUPPLIES")</f>
        <v xml:space="preserve">          6247 - STORE SUPPLIES</v>
      </c>
      <c r="C69" s="12"/>
      <c r="D69" s="7">
        <v>-23.33</v>
      </c>
      <c r="E69" s="3"/>
      <c r="F69" s="8">
        <f t="shared" si="8"/>
        <v>-6.1969224165500582E-4</v>
      </c>
      <c r="G69" s="3"/>
      <c r="H69" s="7">
        <v>800</v>
      </c>
      <c r="I69" s="3"/>
      <c r="J69" s="8">
        <f t="shared" si="9"/>
        <v>3.2233369595874126E-2</v>
      </c>
      <c r="K69" s="3"/>
      <c r="L69" s="7">
        <f t="shared" si="10"/>
        <v>-823.33</v>
      </c>
      <c r="M69" s="3"/>
      <c r="N69" s="8">
        <f t="shared" si="11"/>
        <v>-1.0291625</v>
      </c>
      <c r="O69" s="12"/>
      <c r="P69" s="7">
        <v>366.33</v>
      </c>
      <c r="Q69" s="3"/>
      <c r="R69" s="8">
        <f t="shared" si="12"/>
        <v>3.6618081793477332E-3</v>
      </c>
      <c r="S69" s="3"/>
      <c r="T69" s="7">
        <v>8600</v>
      </c>
      <c r="U69" s="3"/>
      <c r="V69" s="8">
        <f t="shared" si="13"/>
        <v>6.1460618751205988E-2</v>
      </c>
      <c r="W69" s="3"/>
      <c r="X69" s="7">
        <f t="shared" si="14"/>
        <v>-8233.67</v>
      </c>
      <c r="Y69" s="3"/>
      <c r="Z69" s="8">
        <f t="shared" si="15"/>
        <v>-0.95740348837209299</v>
      </c>
    </row>
    <row r="70" spans="1:26" s="69" customFormat="1" ht="15" customHeight="1" outlineLevel="1" collapsed="1" x14ac:dyDescent="0.3">
      <c r="A70" s="25"/>
      <c r="B70" s="14" t="str">
        <f>CONCATENATE("     ","Telephone/Data Lines                              ")</f>
        <v xml:space="preserve">     Telephone/Data Lines                              </v>
      </c>
      <c r="C70" s="14"/>
      <c r="D70" s="2">
        <f>SUM(OSRRefD22_11x_0)</f>
        <v>201.5</v>
      </c>
      <c r="E70" s="2"/>
      <c r="F70" s="6">
        <f t="shared" si="8"/>
        <v>5.3522497511137457E-3</v>
      </c>
      <c r="G70" s="2"/>
      <c r="H70" s="2">
        <f>SUM(OSRRefH22_11x_0)</f>
        <v>53</v>
      </c>
      <c r="I70" s="2"/>
      <c r="J70" s="6">
        <f t="shared" si="9"/>
        <v>2.1354607357266611E-3</v>
      </c>
      <c r="K70" s="2"/>
      <c r="L70" s="2">
        <f t="shared" si="10"/>
        <v>148.5</v>
      </c>
      <c r="M70" s="2"/>
      <c r="N70" s="6">
        <f t="shared" si="11"/>
        <v>2.8018867924528301</v>
      </c>
      <c r="O70" s="14"/>
      <c r="P70" s="2">
        <f>SUM(OSRRefP22_11x_0)</f>
        <v>666.5</v>
      </c>
      <c r="Q70" s="2"/>
      <c r="R70" s="6">
        <f t="shared" si="12"/>
        <v>6.662285784771284E-3</v>
      </c>
      <c r="S70" s="2"/>
      <c r="T70" s="2">
        <f>SUM(OSRRefT22_11x_0)</f>
        <v>530</v>
      </c>
      <c r="U70" s="2"/>
      <c r="V70" s="6">
        <f t="shared" si="13"/>
        <v>3.7876892951324618E-3</v>
      </c>
      <c r="W70" s="2"/>
      <c r="X70" s="2">
        <f t="shared" si="14"/>
        <v>136.5</v>
      </c>
      <c r="Y70" s="2"/>
      <c r="Z70" s="6">
        <f t="shared" si="15"/>
        <v>0.25754716981132075</v>
      </c>
    </row>
    <row r="71" spans="1:26" s="70" customFormat="1" ht="15" hidden="1" customHeight="1" outlineLevel="2" x14ac:dyDescent="0.3">
      <c r="A71" s="26"/>
      <c r="B71" s="12" t="str">
        <f>CONCATENATE("          ","6309"," - ","TELEPHONE")</f>
        <v xml:space="preserve">          6309 - TELEPHONE</v>
      </c>
      <c r="C71" s="12"/>
      <c r="D71" s="7">
        <v>201.5</v>
      </c>
      <c r="E71" s="3"/>
      <c r="F71" s="8">
        <f t="shared" si="8"/>
        <v>5.3522497511137457E-3</v>
      </c>
      <c r="G71" s="3"/>
      <c r="H71" s="7">
        <v>53</v>
      </c>
      <c r="I71" s="3"/>
      <c r="J71" s="8">
        <f t="shared" si="9"/>
        <v>2.1354607357266611E-3</v>
      </c>
      <c r="K71" s="3"/>
      <c r="L71" s="7">
        <f t="shared" si="10"/>
        <v>148.5</v>
      </c>
      <c r="M71" s="3"/>
      <c r="N71" s="8">
        <f t="shared" si="11"/>
        <v>2.8018867924528301</v>
      </c>
      <c r="O71" s="12"/>
      <c r="P71" s="7">
        <v>666.5</v>
      </c>
      <c r="Q71" s="3"/>
      <c r="R71" s="8">
        <f t="shared" si="12"/>
        <v>6.662285784771284E-3</v>
      </c>
      <c r="S71" s="3"/>
      <c r="T71" s="7">
        <v>530</v>
      </c>
      <c r="U71" s="3"/>
      <c r="V71" s="8">
        <f t="shared" si="13"/>
        <v>3.7876892951324618E-3</v>
      </c>
      <c r="W71" s="3"/>
      <c r="X71" s="7">
        <f t="shared" si="14"/>
        <v>136.5</v>
      </c>
      <c r="Y71" s="3"/>
      <c r="Z71" s="8">
        <f t="shared" si="15"/>
        <v>0.25754716981132075</v>
      </c>
    </row>
    <row r="72" spans="1:26" s="69" customFormat="1" ht="15" customHeight="1" outlineLevel="1" collapsed="1" x14ac:dyDescent="0.3">
      <c r="A72" s="25"/>
      <c r="B72" s="14" t="str">
        <f>CONCATENATE("     ","Training                                          ")</f>
        <v xml:space="preserve">     Training                                          </v>
      </c>
      <c r="C72" s="14"/>
      <c r="D72" s="2">
        <f>SUM(OSRRefD22_12x_0)</f>
        <v>0</v>
      </c>
      <c r="E72" s="2"/>
      <c r="F72" s="6">
        <f t="shared" si="8"/>
        <v>0</v>
      </c>
      <c r="G72" s="2"/>
      <c r="H72" s="2">
        <f>SUM(OSRRefH22_12x_0)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SUM(OSRRefP22_12x_0)</f>
        <v>80</v>
      </c>
      <c r="Q72" s="2"/>
      <c r="R72" s="6">
        <f t="shared" si="12"/>
        <v>7.9967421272573547E-4</v>
      </c>
      <c r="S72" s="2"/>
      <c r="T72" s="2">
        <f>SUM(OSRRefT22_12x_0)</f>
        <v>150</v>
      </c>
      <c r="U72" s="2"/>
      <c r="V72" s="6">
        <f t="shared" si="13"/>
        <v>1.071987536358244E-3</v>
      </c>
      <c r="W72" s="2"/>
      <c r="X72" s="2">
        <f t="shared" si="14"/>
        <v>-70</v>
      </c>
      <c r="Y72" s="2"/>
      <c r="Z72" s="6">
        <f t="shared" si="15"/>
        <v>-0.46666666666666667</v>
      </c>
    </row>
    <row r="73" spans="1:26" s="70" customFormat="1" ht="15" hidden="1" customHeight="1" outlineLevel="2" x14ac:dyDescent="0.3">
      <c r="A73" s="26"/>
      <c r="B73" s="12" t="str">
        <f>CONCATENATE("          ","6376"," - ","TRAINING")</f>
        <v xml:space="preserve">          6376 - TRAINING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80</v>
      </c>
      <c r="Q73" s="3"/>
      <c r="R73" s="8">
        <f t="shared" si="12"/>
        <v>7.9967421272573547E-4</v>
      </c>
      <c r="S73" s="3"/>
      <c r="T73" s="7">
        <v>150</v>
      </c>
      <c r="U73" s="3"/>
      <c r="V73" s="8">
        <f t="shared" si="13"/>
        <v>1.071987536358244E-3</v>
      </c>
      <c r="W73" s="3"/>
      <c r="X73" s="7">
        <f t="shared" si="14"/>
        <v>-70</v>
      </c>
      <c r="Y73" s="3"/>
      <c r="Z73" s="8">
        <f t="shared" si="15"/>
        <v>-0.46666666666666667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x14ac:dyDescent="0.3">
      <c r="A75" s="11"/>
      <c r="B75" s="28" t="s">
        <v>291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11"/>
      <c r="B77" s="27" t="s">
        <v>292</v>
      </c>
      <c r="C77" s="27"/>
      <c r="D77" s="21">
        <f>+D20-D22+D75</f>
        <v>-494.27999999999884</v>
      </c>
      <c r="E77" s="15"/>
      <c r="F77" s="23">
        <f>IF(D$12=0,0,D77/D$12)</f>
        <v>-1.3129081920498741E-2</v>
      </c>
      <c r="G77" s="15"/>
      <c r="H77" s="21">
        <f>+H20-H22+H75</f>
        <v>1080.2143652499999</v>
      </c>
      <c r="I77" s="15"/>
      <c r="J77" s="23">
        <f>IF(H$12=0,0,H77/H$12)</f>
        <v>4.352368609734477E-2</v>
      </c>
      <c r="K77" s="17"/>
      <c r="L77" s="21">
        <f>+D77-H77</f>
        <v>-1574.4943652499987</v>
      </c>
      <c r="M77" s="17"/>
      <c r="N77" s="23">
        <f>IF(H77=0,0,L77/H77)</f>
        <v>-1.4575758441109092</v>
      </c>
      <c r="O77" s="28"/>
      <c r="P77" s="21">
        <f>+P20-P22+P75</f>
        <v>-27572.479999999996</v>
      </c>
      <c r="Q77" s="15"/>
      <c r="R77" s="23">
        <f>IF(P$12=0,0,P77/P$12)</f>
        <v>-0.27561251546120102</v>
      </c>
      <c r="S77" s="15"/>
      <c r="T77" s="21">
        <f>+T20-T22+T75</f>
        <v>-8423.074954249998</v>
      </c>
      <c r="U77" s="15"/>
      <c r="V77" s="23">
        <f>IF(T$12=0,0,T77/T$12)</f>
        <v>-6.0196209125115224E-2</v>
      </c>
      <c r="W77" s="17"/>
      <c r="X77" s="21">
        <f>+P77-T77</f>
        <v>-19149.405045749998</v>
      </c>
      <c r="Y77" s="17"/>
      <c r="Z77" s="23">
        <f>IF(T77=0,0,X77/T77)</f>
        <v>2.2734458792970682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49"/>
      <c r="B79" s="11" t="s">
        <v>293</v>
      </c>
      <c r="C79" s="11"/>
      <c r="D79" s="5">
        <v>3886.55</v>
      </c>
      <c r="E79" s="5"/>
      <c r="F79" s="13">
        <f>IF(D$12=0,0,D79/D$12)</f>
        <v>0.10323467131608502</v>
      </c>
      <c r="G79" s="5"/>
      <c r="H79" s="5">
        <v>3195</v>
      </c>
      <c r="I79" s="5"/>
      <c r="J79" s="13">
        <f>IF(H$12=0,0,H79/H$12)</f>
        <v>0.12873201982352231</v>
      </c>
      <c r="K79" s="5"/>
      <c r="L79" s="5">
        <f>+D79-H79</f>
        <v>691.55000000000018</v>
      </c>
      <c r="M79" s="5"/>
      <c r="N79" s="13">
        <f>IF(H79=0,0,L79/H79)</f>
        <v>0.21644757433489833</v>
      </c>
      <c r="O79" s="11"/>
      <c r="P79" s="5">
        <v>11333</v>
      </c>
      <c r="Q79" s="5"/>
      <c r="R79" s="13">
        <f>IF(P$12=0,0,P79/P$12)</f>
        <v>0.11328384816025951</v>
      </c>
      <c r="S79" s="5"/>
      <c r="T79" s="5">
        <v>17212</v>
      </c>
      <c r="U79" s="5"/>
      <c r="V79" s="13">
        <f>IF(T$12=0,0,T79/T$12)</f>
        <v>0.12300699650532063</v>
      </c>
      <c r="W79" s="5"/>
      <c r="X79" s="5">
        <f>+P79-T79</f>
        <v>-5879</v>
      </c>
      <c r="Y79" s="5"/>
      <c r="Z79" s="13">
        <f>IF(T79=0,0,X79/T79)</f>
        <v>-0.34156402509876832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294</v>
      </c>
      <c r="C81" s="27"/>
      <c r="D81" s="29">
        <f>+D77-D79</f>
        <v>-4380.829999999999</v>
      </c>
      <c r="E81" s="15"/>
      <c r="F81" s="30">
        <f>IF(D$12=0,0,D81/D$12)</f>
        <v>-0.11636375323658375</v>
      </c>
      <c r="G81" s="15"/>
      <c r="H81" s="29">
        <f>+H77-H79</f>
        <v>-2114.7856347500001</v>
      </c>
      <c r="I81" s="15"/>
      <c r="J81" s="30">
        <f>IF(H$12=0,0,H81/H$12)</f>
        <v>-8.5208333726177532E-2</v>
      </c>
      <c r="K81" s="17"/>
      <c r="L81" s="29">
        <f>D81-H81</f>
        <v>-2266.0443652499989</v>
      </c>
      <c r="M81" s="17"/>
      <c r="N81" s="30">
        <f>IF(H81=0,0,L81/H81)</f>
        <v>1.0715243795940954</v>
      </c>
      <c r="O81" s="28"/>
      <c r="P81" s="29">
        <f>+P77-P79</f>
        <v>-38905.479999999996</v>
      </c>
      <c r="Q81" s="15"/>
      <c r="R81" s="30">
        <f>IF(P$12=0,0,P81/P$12)</f>
        <v>-0.38889636362146057</v>
      </c>
      <c r="S81" s="15"/>
      <c r="T81" s="29">
        <f>+T77-T79</f>
        <v>-25635.074954249998</v>
      </c>
      <c r="U81" s="15"/>
      <c r="V81" s="30">
        <f>IF(T$12=0,0,T81/T$12)</f>
        <v>-0.18320320563043585</v>
      </c>
      <c r="W81" s="17"/>
      <c r="X81" s="29">
        <f>P81-T81</f>
        <v>-13270.405045749998</v>
      </c>
      <c r="Y81" s="17"/>
      <c r="Z81" s="30">
        <f>IF(T81=0,0,X81/T81)</f>
        <v>0.51766593502976743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297</v>
      </c>
      <c r="C84" s="27"/>
      <c r="D84" s="32">
        <f>SUM(D81:D83)</f>
        <v>-4380.829999999999</v>
      </c>
      <c r="E84" s="15"/>
      <c r="F84" s="34">
        <f>IF(D$12=0,0,D84/D$12)</f>
        <v>-0.11636375323658375</v>
      </c>
      <c r="G84" s="15"/>
      <c r="H84" s="32">
        <f>SUM(H81:H83)</f>
        <v>-2114.7856347500001</v>
      </c>
      <c r="I84" s="15"/>
      <c r="J84" s="34">
        <f>IF(H$12=0,0,H84/H$12)</f>
        <v>-8.5208333726177532E-2</v>
      </c>
      <c r="K84" s="17"/>
      <c r="L84" s="32">
        <f>+D84-H84</f>
        <v>-2266.0443652499989</v>
      </c>
      <c r="M84" s="17"/>
      <c r="N84" s="34">
        <f>IF(H84=0,0,L84/H84)</f>
        <v>1.0715243795940954</v>
      </c>
      <c r="O84" s="28"/>
      <c r="P84" s="32">
        <f>SUM(P81:P83)</f>
        <v>-38905.479999999996</v>
      </c>
      <c r="Q84" s="15"/>
      <c r="R84" s="34">
        <f>IF(P$12=0,0,P84/P$12)</f>
        <v>-0.38889636362146057</v>
      </c>
      <c r="S84" s="15"/>
      <c r="T84" s="32">
        <f>SUM(T81:T83)</f>
        <v>-25635.074954249998</v>
      </c>
      <c r="U84" s="15"/>
      <c r="V84" s="34">
        <f>IF(T$12=0,0,T84/T$12)</f>
        <v>-0.18320320563043585</v>
      </c>
      <c r="W84" s="17"/>
      <c r="X84" s="32">
        <f>+P84-T84</f>
        <v>-13270.405045749998</v>
      </c>
      <c r="Y84" s="17"/>
      <c r="Z84" s="34">
        <f>IF(T84=0,0,X84/T84)</f>
        <v>0.51766593502976743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6">
        <v>44694.888552430559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0" t="s">
        <v>298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1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B1391-5FA5-E369-3AFE-8B34D3D18B0F}">
  <sheetPr>
    <tabColor rgb="FF92D050"/>
    <outlinePr summaryBelow="0" summaryRight="0"/>
  </sheetPr>
  <dimension ref="A2:Z10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","325"," - ","Outpost C-Store")</f>
        <v>Department 325 - Outpost C-Store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35798.15</v>
      </c>
      <c r="E12" s="5"/>
      <c r="F12" s="13"/>
      <c r="G12" s="5"/>
      <c r="H12" s="5">
        <f>SUM(OSRRefH13x_0)</f>
        <v>59135</v>
      </c>
      <c r="I12" s="5"/>
      <c r="J12" s="13"/>
      <c r="K12" s="5"/>
      <c r="L12" s="5">
        <f>+D12-H12</f>
        <v>-23336.85</v>
      </c>
      <c r="M12" s="5"/>
      <c r="N12" s="13">
        <f>IF(H12=0,0,L12/H12)</f>
        <v>-0.39463684789042019</v>
      </c>
      <c r="O12" s="11"/>
      <c r="P12" s="5">
        <f>SUM(OSRRefP13x_0)</f>
        <v>227456.88</v>
      </c>
      <c r="Q12" s="5"/>
      <c r="R12" s="13"/>
      <c r="S12" s="5"/>
      <c r="T12" s="5">
        <f>SUM(OSRRefT13x_0)</f>
        <v>321512</v>
      </c>
      <c r="U12" s="5"/>
      <c r="V12" s="13"/>
      <c r="W12" s="5"/>
      <c r="X12" s="5">
        <f>+P12-T12</f>
        <v>-94055.12</v>
      </c>
      <c r="Y12" s="5"/>
      <c r="Z12" s="13">
        <f>IF(T12=0,0,X12/T12)</f>
        <v>-0.29253999850705414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--4281.36</f>
        <v>4281.3599999999997</v>
      </c>
      <c r="E13" s="3"/>
      <c r="F13" s="20"/>
      <c r="G13" s="3"/>
      <c r="H13" s="3">
        <v>10481</v>
      </c>
      <c r="I13" s="3"/>
      <c r="J13" s="20"/>
      <c r="K13" s="3"/>
      <c r="L13" s="3">
        <f>+D13-H13</f>
        <v>-6199.64</v>
      </c>
      <c r="M13" s="3"/>
      <c r="N13" s="20">
        <f>IF(H13=0,0,L13/H13)</f>
        <v>-0.59151226028050763</v>
      </c>
      <c r="O13" s="12"/>
      <c r="P13" s="3">
        <f>--33515.14</f>
        <v>33515.14</v>
      </c>
      <c r="Q13" s="3"/>
      <c r="R13" s="20"/>
      <c r="S13" s="3"/>
      <c r="T13" s="3">
        <v>57047</v>
      </c>
      <c r="U13" s="3"/>
      <c r="V13" s="20"/>
      <c r="W13" s="3"/>
      <c r="X13" s="3">
        <f>+P13-T13</f>
        <v>-23531.86</v>
      </c>
      <c r="Y13" s="3"/>
      <c r="Z13" s="20">
        <f>IF(T13=0,0,X13/T13)</f>
        <v>-0.41249951794134659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--31516.79</f>
        <v>31516.79</v>
      </c>
      <c r="E14" s="3"/>
      <c r="F14" s="20"/>
      <c r="G14" s="3"/>
      <c r="H14" s="3">
        <v>48654</v>
      </c>
      <c r="I14" s="3"/>
      <c r="J14" s="20"/>
      <c r="K14" s="3"/>
      <c r="L14" s="3">
        <f>+D14-H14</f>
        <v>-17137.21</v>
      </c>
      <c r="M14" s="3"/>
      <c r="N14" s="20">
        <f>IF(H14=0,0,L14/H14)</f>
        <v>-0.3522261273482139</v>
      </c>
      <c r="O14" s="12"/>
      <c r="P14" s="3">
        <f>--193941.74</f>
        <v>193941.74</v>
      </c>
      <c r="Q14" s="3"/>
      <c r="R14" s="20"/>
      <c r="S14" s="3"/>
      <c r="T14" s="3">
        <v>264465</v>
      </c>
      <c r="U14" s="3"/>
      <c r="V14" s="20"/>
      <c r="W14" s="3"/>
      <c r="X14" s="3">
        <f>+P14-T14</f>
        <v>-70523.260000000009</v>
      </c>
      <c r="Y14" s="3"/>
      <c r="Z14" s="20">
        <f>IF(T14=0,0,X14/T14)</f>
        <v>-0.26666386856483848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17540.7</v>
      </c>
      <c r="E16" s="5"/>
      <c r="F16" s="13">
        <f>IF(D$12=0,0,D16/D$12)</f>
        <v>0.48998900781185623</v>
      </c>
      <c r="G16" s="5"/>
      <c r="H16" s="5">
        <f>SUM(OSRRefH16x_0)</f>
        <v>28976</v>
      </c>
      <c r="I16" s="5"/>
      <c r="J16" s="13">
        <f>IF(H$12=0,0,H16/H$12)</f>
        <v>0.48999746343113215</v>
      </c>
      <c r="K16" s="5"/>
      <c r="L16" s="5">
        <f>+D16-H16</f>
        <v>-11435.3</v>
      </c>
      <c r="M16" s="5"/>
      <c r="N16" s="13">
        <f>IF(H16=0,0,L16/H16)</f>
        <v>-0.39464729431253448</v>
      </c>
      <c r="O16" s="11"/>
      <c r="P16" s="5">
        <f>SUM(OSRRefP16x_0)</f>
        <v>93384.86</v>
      </c>
      <c r="Q16" s="5"/>
      <c r="R16" s="13">
        <f>IF(P$12=0,0,P16/P$12)</f>
        <v>0.4105607181457866</v>
      </c>
      <c r="S16" s="5"/>
      <c r="T16" s="5">
        <f>SUM(OSRRefT16x_0)</f>
        <v>157707</v>
      </c>
      <c r="U16" s="5"/>
      <c r="V16" s="13">
        <f>IF(T$12=0,0,T16/T$12)</f>
        <v>0.49051668366966084</v>
      </c>
      <c r="W16" s="5"/>
      <c r="X16" s="5">
        <f>+P16-T16</f>
        <v>-64322.14</v>
      </c>
      <c r="Y16" s="5"/>
      <c r="Z16" s="13">
        <f>IF(T16=0,0,X16/T16)</f>
        <v>-0.40785849708636901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28976</v>
      </c>
      <c r="I17" s="3"/>
      <c r="J17" s="20">
        <f>IF(H$12=0,0,H17/H$12)</f>
        <v>0.48999746343113215</v>
      </c>
      <c r="K17" s="3"/>
      <c r="L17" s="3">
        <f>+D17-H17</f>
        <v>-28976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157707</v>
      </c>
      <c r="U17" s="3"/>
      <c r="V17" s="20">
        <f>IF(T$12=0,0,T17/T$12)</f>
        <v>0.49051668366966084</v>
      </c>
      <c r="W17" s="3"/>
      <c r="X17" s="3">
        <f>+P17-T17</f>
        <v>-157707</v>
      </c>
      <c r="Y17" s="3"/>
      <c r="Z17" s="20">
        <f>IF(T17=0,0,X17/T17)</f>
        <v>-1</v>
      </c>
    </row>
    <row r="18" spans="1:26" s="70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1344.8</v>
      </c>
      <c r="E18" s="3"/>
      <c r="F18" s="20">
        <f>IF(D$12=0,0,D18/D$12)</f>
        <v>3.7566187079499914E-2</v>
      </c>
      <c r="G18" s="3"/>
      <c r="H18" s="3"/>
      <c r="I18" s="3"/>
      <c r="J18" s="20">
        <f>IF(H$12=0,0,H18/H$12)</f>
        <v>0</v>
      </c>
      <c r="K18" s="3"/>
      <c r="L18" s="3">
        <f>+D18-H18</f>
        <v>1344.8</v>
      </c>
      <c r="M18" s="3"/>
      <c r="N18" s="20">
        <f>IF(H18=0,0,L18/H18)</f>
        <v>0</v>
      </c>
      <c r="O18" s="12"/>
      <c r="P18" s="3">
        <v>28359.14</v>
      </c>
      <c r="Q18" s="3"/>
      <c r="R18" s="20">
        <f>IF(P$12=0,0,P18/P$12)</f>
        <v>0.12467919194178693</v>
      </c>
      <c r="S18" s="3"/>
      <c r="T18" s="3"/>
      <c r="U18" s="3"/>
      <c r="V18" s="20">
        <f>IF(T$12=0,0,T18/T$12)</f>
        <v>0</v>
      </c>
      <c r="W18" s="3"/>
      <c r="X18" s="3">
        <f>+P18-T18</f>
        <v>28359.14</v>
      </c>
      <c r="Y18" s="3"/>
      <c r="Z18" s="20">
        <f>IF(T18=0,0,X18/T18)</f>
        <v>0</v>
      </c>
    </row>
    <row r="19" spans="1:26" s="70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16195.9</v>
      </c>
      <c r="E19" s="3"/>
      <c r="F19" s="20">
        <f>IF(D$12=0,0,D19/D$12)</f>
        <v>0.45242282073235623</v>
      </c>
      <c r="G19" s="3"/>
      <c r="H19" s="3"/>
      <c r="I19" s="3"/>
      <c r="J19" s="20">
        <f>IF(H$12=0,0,H19/H$12)</f>
        <v>0</v>
      </c>
      <c r="K19" s="3"/>
      <c r="L19" s="3">
        <f>+D19-H19</f>
        <v>16195.9</v>
      </c>
      <c r="M19" s="3"/>
      <c r="N19" s="20">
        <f>IF(H19=0,0,L19/H19)</f>
        <v>0</v>
      </c>
      <c r="O19" s="12"/>
      <c r="P19" s="3">
        <v>65025.72</v>
      </c>
      <c r="Q19" s="3"/>
      <c r="R19" s="20">
        <f>IF(P$12=0,0,P19/P$12)</f>
        <v>0.28588152620399965</v>
      </c>
      <c r="S19" s="3"/>
      <c r="T19" s="3"/>
      <c r="U19" s="3"/>
      <c r="V19" s="20">
        <f>IF(T$12=0,0,T19/T$12)</f>
        <v>0</v>
      </c>
      <c r="W19" s="3"/>
      <c r="X19" s="3">
        <f>+P19-T19</f>
        <v>65025.72</v>
      </c>
      <c r="Y19" s="3"/>
      <c r="Z19" s="20">
        <f>IF(T19=0,0,X19/T19)</f>
        <v>0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x14ac:dyDescent="0.3">
      <c r="A21" s="11"/>
      <c r="B21" s="27" t="s">
        <v>289</v>
      </c>
      <c r="C21" s="27"/>
      <c r="D21" s="21">
        <f>D12-D16</f>
        <v>18257.45</v>
      </c>
      <c r="E21" s="15"/>
      <c r="F21" s="23">
        <f>IF(D$12=0,0,D21/D$12)</f>
        <v>0.51001099218814383</v>
      </c>
      <c r="G21" s="15"/>
      <c r="H21" s="21">
        <f>H12-H16</f>
        <v>30159</v>
      </c>
      <c r="I21" s="15"/>
      <c r="J21" s="23">
        <f>IF(H$12=0,0,H21/H$12)</f>
        <v>0.51000253656886785</v>
      </c>
      <c r="K21" s="17"/>
      <c r="L21" s="21">
        <f>+D21-H21</f>
        <v>-11901.55</v>
      </c>
      <c r="M21" s="17"/>
      <c r="N21" s="23">
        <f>IF(H21=0,0,L21/H21)</f>
        <v>-0.39462681123379417</v>
      </c>
      <c r="O21" s="28"/>
      <c r="P21" s="21">
        <f>P12-P16</f>
        <v>134072.02000000002</v>
      </c>
      <c r="Q21" s="15"/>
      <c r="R21" s="23">
        <f>IF(P$12=0,0,P21/P$12)</f>
        <v>0.58943928185421346</v>
      </c>
      <c r="S21" s="15"/>
      <c r="T21" s="21">
        <f>T12-T16</f>
        <v>163805</v>
      </c>
      <c r="U21" s="15"/>
      <c r="V21" s="23">
        <f>IF(T$12=0,0,T21/T$12)</f>
        <v>0.50948331633033916</v>
      </c>
      <c r="W21" s="17"/>
      <c r="X21" s="21">
        <f>+P21-T21</f>
        <v>-29732.979999999981</v>
      </c>
      <c r="Y21" s="17"/>
      <c r="Z21" s="23">
        <f>IF(T21=0,0,X21/T21)</f>
        <v>-0.18151448368486908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3">
      <c r="A23" s="11"/>
      <c r="B23" s="28" t="s">
        <v>290</v>
      </c>
      <c r="C23" s="11"/>
      <c r="D23" s="22" cm="1">
        <f t="array" ref="D23">SUM(OSRRefD22x_0)</f>
        <v>35049.03</v>
      </c>
      <c r="E23" s="22"/>
      <c r="F23" s="33">
        <f t="shared" ref="F23:F54" si="0">IF(D$12=0,0,D23/D$12)</f>
        <v>0.97907377895226422</v>
      </c>
      <c r="G23" s="22"/>
      <c r="H23" s="22" cm="1">
        <f t="array" ref="H23">SUM(OSRRefH22x_0)</f>
        <v>34166.942968384617</v>
      </c>
      <c r="I23" s="22"/>
      <c r="J23" s="33">
        <f t="shared" ref="J23:J54" si="1">IF(H$12=0,0,H23/H$12)</f>
        <v>0.5777786922868795</v>
      </c>
      <c r="K23" s="5"/>
      <c r="L23" s="22">
        <f t="shared" ref="L23:L54" si="2">+D23-H23</f>
        <v>882.08703161538142</v>
      </c>
      <c r="M23" s="5"/>
      <c r="N23" s="33">
        <f t="shared" ref="N23:N54" si="3">IF(H23=0,0,L23/H23)</f>
        <v>2.581697263438508E-2</v>
      </c>
      <c r="O23" s="11"/>
      <c r="P23" s="22" cm="1">
        <f t="array" ref="P23">SUM(OSRRefP22x_0)</f>
        <v>224573.46000000005</v>
      </c>
      <c r="Q23" s="22"/>
      <c r="R23" s="33">
        <f t="shared" ref="R23:R54" si="4">IF(P$12=0,0,P23/P$12)</f>
        <v>0.98732322363693747</v>
      </c>
      <c r="S23" s="22"/>
      <c r="T23" s="22" cm="1">
        <f t="array" ref="T23">SUM(OSRRefT22x_0)</f>
        <v>289439.14240488457</v>
      </c>
      <c r="U23" s="22"/>
      <c r="V23" s="33">
        <f t="shared" ref="V23:V54" si="5">IF(T$12=0,0,T23/T$12)</f>
        <v>0.90024366868074779</v>
      </c>
      <c r="W23" s="5"/>
      <c r="X23" s="22">
        <f t="shared" ref="X23:X54" si="6">+P23-T23</f>
        <v>-64865.682404884516</v>
      </c>
      <c r="Y23" s="5"/>
      <c r="Z23" s="33">
        <f t="shared" ref="Z23:Z54" si="7">IF(T23=0,0,X23/T23)</f>
        <v>-0.22410819029496215</v>
      </c>
    </row>
    <row r="24" spans="1:26" s="69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4910.8999999999996</v>
      </c>
      <c r="E24" s="2"/>
      <c r="F24" s="6">
        <f t="shared" si="0"/>
        <v>0.13718306672272168</v>
      </c>
      <c r="G24" s="2"/>
      <c r="H24" s="2">
        <f>SUM(OSRRefH22_0x_0)</f>
        <v>4652.0030299230775</v>
      </c>
      <c r="I24" s="2"/>
      <c r="J24" s="6">
        <f t="shared" si="1"/>
        <v>7.8667507058815894E-2</v>
      </c>
      <c r="K24" s="2"/>
      <c r="L24" s="2">
        <f t="shared" si="2"/>
        <v>258.89697007692212</v>
      </c>
      <c r="M24" s="2"/>
      <c r="N24" s="6">
        <f t="shared" si="3"/>
        <v>5.5652794809379791E-2</v>
      </c>
      <c r="O24" s="14"/>
      <c r="P24" s="2">
        <f>SUM(OSRRefP22_0x_0)</f>
        <v>18387.219999999998</v>
      </c>
      <c r="Q24" s="2"/>
      <c r="R24" s="6">
        <f t="shared" si="4"/>
        <v>8.0838267015708634E-2</v>
      </c>
      <c r="S24" s="2"/>
      <c r="T24" s="2">
        <f>SUM(OSRRefT22_0x_0)</f>
        <v>41273.833566423084</v>
      </c>
      <c r="U24" s="2"/>
      <c r="V24" s="6">
        <f t="shared" si="5"/>
        <v>0.12837416197971796</v>
      </c>
      <c r="W24" s="2"/>
      <c r="X24" s="2">
        <f t="shared" si="6"/>
        <v>-22886.613566423086</v>
      </c>
      <c r="Y24" s="2"/>
      <c r="Z24" s="6">
        <f t="shared" si="7"/>
        <v>-0.5545066108189598</v>
      </c>
    </row>
    <row r="25" spans="1:26" s="70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7">
        <v>973.12</v>
      </c>
      <c r="E25" s="3"/>
      <c r="F25" s="8">
        <f t="shared" si="0"/>
        <v>2.7183527640394823E-2</v>
      </c>
      <c r="G25" s="3"/>
      <c r="H25" s="7">
        <v>641.62339915384598</v>
      </c>
      <c r="I25" s="3"/>
      <c r="J25" s="8">
        <f t="shared" si="1"/>
        <v>1.0850146261162525E-2</v>
      </c>
      <c r="K25" s="3"/>
      <c r="L25" s="7">
        <f t="shared" si="2"/>
        <v>331.49660084615402</v>
      </c>
      <c r="M25" s="3"/>
      <c r="N25" s="8">
        <f t="shared" si="3"/>
        <v>0.51665291709018402</v>
      </c>
      <c r="O25" s="12"/>
      <c r="P25" s="7">
        <v>3785.08</v>
      </c>
      <c r="Q25" s="3"/>
      <c r="R25" s="8">
        <f t="shared" si="4"/>
        <v>1.6640868370303857E-2</v>
      </c>
      <c r="S25" s="3"/>
      <c r="T25" s="7">
        <v>5070.95403565385</v>
      </c>
      <c r="U25" s="3"/>
      <c r="V25" s="8">
        <f t="shared" si="5"/>
        <v>1.5772207680129668E-2</v>
      </c>
      <c r="W25" s="3"/>
      <c r="X25" s="7">
        <f t="shared" si="6"/>
        <v>-1285.8740356538501</v>
      </c>
      <c r="Y25" s="3"/>
      <c r="Z25" s="8">
        <f t="shared" si="7"/>
        <v>-0.2535763539982569</v>
      </c>
    </row>
    <row r="26" spans="1:26" s="70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7">
        <v>208.54</v>
      </c>
      <c r="E26" s="3"/>
      <c r="F26" s="8">
        <f t="shared" si="0"/>
        <v>5.8254407001479122E-3</v>
      </c>
      <c r="G26" s="3"/>
      <c r="H26" s="7">
        <v>612.40965723076897</v>
      </c>
      <c r="I26" s="3"/>
      <c r="J26" s="8">
        <f t="shared" si="1"/>
        <v>1.0356128472660335E-2</v>
      </c>
      <c r="K26" s="3"/>
      <c r="L26" s="7">
        <f t="shared" si="2"/>
        <v>-403.86965723076901</v>
      </c>
      <c r="M26" s="3"/>
      <c r="N26" s="8">
        <f t="shared" si="3"/>
        <v>-0.65947630391233747</v>
      </c>
      <c r="O26" s="12"/>
      <c r="P26" s="7">
        <v>1224.04</v>
      </c>
      <c r="Q26" s="3"/>
      <c r="R26" s="8">
        <f t="shared" si="4"/>
        <v>5.3814155896273613E-3</v>
      </c>
      <c r="S26" s="3"/>
      <c r="T26" s="7">
        <v>4598.2529802307699</v>
      </c>
      <c r="U26" s="3"/>
      <c r="V26" s="8">
        <f t="shared" si="5"/>
        <v>1.4301963784340149E-2</v>
      </c>
      <c r="W26" s="3"/>
      <c r="X26" s="7">
        <f t="shared" si="6"/>
        <v>-3374.21298023077</v>
      </c>
      <c r="Y26" s="3"/>
      <c r="Z26" s="8">
        <f t="shared" si="7"/>
        <v>-0.73380324978584155</v>
      </c>
    </row>
    <row r="27" spans="1:26" s="70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7">
        <v>1752.24</v>
      </c>
      <c r="E27" s="3"/>
      <c r="F27" s="8">
        <f t="shared" si="0"/>
        <v>4.8947780821075947E-2</v>
      </c>
      <c r="G27" s="3"/>
      <c r="H27" s="7">
        <v>1977</v>
      </c>
      <c r="I27" s="3"/>
      <c r="J27" s="8">
        <f t="shared" si="1"/>
        <v>3.3431977678193961E-2</v>
      </c>
      <c r="K27" s="3"/>
      <c r="L27" s="7">
        <f t="shared" si="2"/>
        <v>-224.76</v>
      </c>
      <c r="M27" s="3"/>
      <c r="N27" s="8">
        <f t="shared" si="3"/>
        <v>-0.11368740515933232</v>
      </c>
      <c r="O27" s="12"/>
      <c r="P27" s="7">
        <v>7008.96</v>
      </c>
      <c r="Q27" s="3"/>
      <c r="R27" s="8">
        <f t="shared" si="4"/>
        <v>3.0814455909181554E-2</v>
      </c>
      <c r="S27" s="3"/>
      <c r="T27" s="7">
        <v>19770</v>
      </c>
      <c r="U27" s="3"/>
      <c r="V27" s="8">
        <f t="shared" si="5"/>
        <v>6.1490706412202341E-2</v>
      </c>
      <c r="W27" s="3"/>
      <c r="X27" s="7">
        <f t="shared" si="6"/>
        <v>-12761.04</v>
      </c>
      <c r="Y27" s="3"/>
      <c r="Z27" s="8">
        <f t="shared" si="7"/>
        <v>-0.645474962063733</v>
      </c>
    </row>
    <row r="28" spans="1:26" s="70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7">
        <v>36.64</v>
      </c>
      <c r="E28" s="3"/>
      <c r="F28" s="8">
        <f t="shared" si="0"/>
        <v>1.0235165783706701E-3</v>
      </c>
      <c r="G28" s="3"/>
      <c r="H28" s="7">
        <v>33.932988923076898</v>
      </c>
      <c r="I28" s="3"/>
      <c r="J28" s="8">
        <f t="shared" si="1"/>
        <v>5.7382242196798679E-4</v>
      </c>
      <c r="K28" s="3"/>
      <c r="L28" s="7">
        <f t="shared" si="2"/>
        <v>2.7070110769231022</v>
      </c>
      <c r="M28" s="3"/>
      <c r="N28" s="8">
        <f t="shared" si="3"/>
        <v>7.9775202917127586E-2</v>
      </c>
      <c r="O28" s="12"/>
      <c r="P28" s="7">
        <v>194.35</v>
      </c>
      <c r="Q28" s="3"/>
      <c r="R28" s="8">
        <f t="shared" si="4"/>
        <v>8.5444766498159999E-4</v>
      </c>
      <c r="S28" s="3"/>
      <c r="T28" s="7">
        <v>254.78446592307699</v>
      </c>
      <c r="U28" s="3"/>
      <c r="V28" s="8">
        <f t="shared" si="5"/>
        <v>7.9245709622992918E-4</v>
      </c>
      <c r="W28" s="3"/>
      <c r="X28" s="7">
        <f t="shared" si="6"/>
        <v>-60.434465923076999</v>
      </c>
      <c r="Y28" s="3"/>
      <c r="Z28" s="8">
        <f t="shared" si="7"/>
        <v>-0.2371983931756774</v>
      </c>
    </row>
    <row r="29" spans="1:26" s="70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7">
        <v>794.87</v>
      </c>
      <c r="E29" s="3"/>
      <c r="F29" s="8">
        <f t="shared" si="0"/>
        <v>2.220422005047747E-2</v>
      </c>
      <c r="G29" s="3"/>
      <c r="H29" s="7">
        <v>497.41076923076901</v>
      </c>
      <c r="I29" s="3"/>
      <c r="J29" s="8">
        <f t="shared" si="1"/>
        <v>8.4114444784098921E-3</v>
      </c>
      <c r="K29" s="3"/>
      <c r="L29" s="7">
        <f t="shared" si="2"/>
        <v>297.459230769231</v>
      </c>
      <c r="M29" s="3"/>
      <c r="N29" s="8">
        <f t="shared" si="3"/>
        <v>0.59801526056470966</v>
      </c>
      <c r="O29" s="12"/>
      <c r="P29" s="7">
        <v>2439.41</v>
      </c>
      <c r="Q29" s="3"/>
      <c r="R29" s="8">
        <f t="shared" si="4"/>
        <v>1.072471406448554E-2</v>
      </c>
      <c r="S29" s="3"/>
      <c r="T29" s="7">
        <v>4377.2147692307699</v>
      </c>
      <c r="U29" s="3"/>
      <c r="V29" s="8">
        <f t="shared" si="5"/>
        <v>1.3614467793521766E-2</v>
      </c>
      <c r="W29" s="3"/>
      <c r="X29" s="7">
        <f t="shared" si="6"/>
        <v>-1937.80476923077</v>
      </c>
      <c r="Y29" s="3"/>
      <c r="Z29" s="8">
        <f t="shared" si="7"/>
        <v>-0.44270269369746057</v>
      </c>
    </row>
    <row r="30" spans="1:26" s="70" customFormat="1" ht="15" hidden="1" customHeight="1" outlineLevel="2" x14ac:dyDescent="0.3">
      <c r="A30" s="26"/>
      <c r="B30" s="12" t="str">
        <f>CONCATENATE("          ","6116"," - ","EDUCATIONAL BENEFITS")</f>
        <v xml:space="preserve">          6116 - EDUCATIONAL BENEFITS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7">
        <v>552.66</v>
      </c>
      <c r="E31" s="3"/>
      <c r="F31" s="8">
        <f t="shared" si="0"/>
        <v>1.5438227953120481E-2</v>
      </c>
      <c r="G31" s="3"/>
      <c r="H31" s="7">
        <v>289.19230769230802</v>
      </c>
      <c r="I31" s="3"/>
      <c r="J31" s="8">
        <f t="shared" si="1"/>
        <v>4.8903746967499453E-3</v>
      </c>
      <c r="K31" s="3"/>
      <c r="L31" s="7">
        <f t="shared" si="2"/>
        <v>263.46769230769195</v>
      </c>
      <c r="M31" s="3"/>
      <c r="N31" s="8">
        <f t="shared" si="3"/>
        <v>0.9110466817395908</v>
      </c>
      <c r="O31" s="12"/>
      <c r="P31" s="7">
        <v>1657.98</v>
      </c>
      <c r="Q31" s="3"/>
      <c r="R31" s="8">
        <f t="shared" si="4"/>
        <v>7.2892057606698908E-3</v>
      </c>
      <c r="S31" s="3"/>
      <c r="T31" s="7">
        <v>2544.8923076923102</v>
      </c>
      <c r="U31" s="3"/>
      <c r="V31" s="8">
        <f t="shared" si="5"/>
        <v>7.9153882520475449E-3</v>
      </c>
      <c r="W31" s="3"/>
      <c r="X31" s="7">
        <f t="shared" si="6"/>
        <v>-886.91230769231015</v>
      </c>
      <c r="Y31" s="3"/>
      <c r="Z31" s="8">
        <f t="shared" si="7"/>
        <v>-0.34850681304332121</v>
      </c>
    </row>
    <row r="32" spans="1:26" s="70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7">
        <v>348.6</v>
      </c>
      <c r="E32" s="3"/>
      <c r="F32" s="8">
        <f t="shared" si="0"/>
        <v>9.7379333848257518E-3</v>
      </c>
      <c r="G32" s="3"/>
      <c r="H32" s="7">
        <v>600.43390769230803</v>
      </c>
      <c r="I32" s="3"/>
      <c r="J32" s="8">
        <f t="shared" si="1"/>
        <v>1.0153613049671228E-2</v>
      </c>
      <c r="K32" s="3"/>
      <c r="L32" s="7">
        <f t="shared" si="2"/>
        <v>-251.833907692308</v>
      </c>
      <c r="M32" s="3"/>
      <c r="N32" s="8">
        <f t="shared" si="3"/>
        <v>-0.41941986364527589</v>
      </c>
      <c r="O32" s="12"/>
      <c r="P32" s="7">
        <v>1045.8</v>
      </c>
      <c r="Q32" s="3"/>
      <c r="R32" s="8">
        <f t="shared" si="4"/>
        <v>4.5977945358258668E-3</v>
      </c>
      <c r="S32" s="3"/>
      <c r="T32" s="7">
        <v>4657.7350076923103</v>
      </c>
      <c r="U32" s="3"/>
      <c r="V32" s="8">
        <f t="shared" si="5"/>
        <v>1.4486970961246579E-2</v>
      </c>
      <c r="W32" s="3"/>
      <c r="X32" s="7">
        <f t="shared" si="6"/>
        <v>-3611.9350076923101</v>
      </c>
      <c r="Y32" s="3"/>
      <c r="Z32" s="8">
        <f t="shared" si="7"/>
        <v>-0.77547026649801931</v>
      </c>
    </row>
    <row r="33" spans="1:26" s="70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7">
        <v>244.23</v>
      </c>
      <c r="E33" s="3"/>
      <c r="F33" s="8">
        <f t="shared" si="0"/>
        <v>6.8224195943086437E-3</v>
      </c>
      <c r="G33" s="3"/>
      <c r="H33" s="7"/>
      <c r="I33" s="3"/>
      <c r="J33" s="8">
        <f t="shared" si="1"/>
        <v>0</v>
      </c>
      <c r="K33" s="3"/>
      <c r="L33" s="7">
        <f t="shared" si="2"/>
        <v>244.23</v>
      </c>
      <c r="M33" s="3"/>
      <c r="N33" s="8">
        <f t="shared" si="3"/>
        <v>0</v>
      </c>
      <c r="O33" s="12"/>
      <c r="P33" s="7">
        <v>1031.5999999999999</v>
      </c>
      <c r="Q33" s="3"/>
      <c r="R33" s="8">
        <f t="shared" si="4"/>
        <v>4.5353651206329736E-3</v>
      </c>
      <c r="S33" s="3"/>
      <c r="T33" s="7"/>
      <c r="U33" s="3"/>
      <c r="V33" s="8">
        <f t="shared" si="5"/>
        <v>0</v>
      </c>
      <c r="W33" s="3"/>
      <c r="X33" s="7">
        <f t="shared" si="6"/>
        <v>1031.5999999999999</v>
      </c>
      <c r="Y33" s="3"/>
      <c r="Z33" s="8">
        <f t="shared" si="7"/>
        <v>0</v>
      </c>
    </row>
    <row r="34" spans="1:26" s="69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18141.78</v>
      </c>
      <c r="E34" s="2"/>
      <c r="F34" s="6">
        <f t="shared" si="0"/>
        <v>0.50677981962755059</v>
      </c>
      <c r="G34" s="2"/>
      <c r="H34" s="2">
        <f>SUM(OSRRefH22_1x_0)</f>
        <v>15268.939938461541</v>
      </c>
      <c r="I34" s="2"/>
      <c r="J34" s="6">
        <f t="shared" si="1"/>
        <v>0.25820478461928709</v>
      </c>
      <c r="K34" s="2"/>
      <c r="L34" s="2">
        <f t="shared" si="2"/>
        <v>2872.840061538458</v>
      </c>
      <c r="M34" s="2"/>
      <c r="N34" s="6">
        <f t="shared" si="3"/>
        <v>0.18814928037682216</v>
      </c>
      <c r="O34" s="14"/>
      <c r="P34" s="2">
        <f>SUM(OSRRefP22_1x_0)</f>
        <v>80188.3</v>
      </c>
      <c r="Q34" s="2"/>
      <c r="R34" s="6">
        <f t="shared" si="4"/>
        <v>0.35254286438818644</v>
      </c>
      <c r="S34" s="2"/>
      <c r="T34" s="2">
        <f>SUM(OSRRefT22_1x_0)</f>
        <v>114123.3088384615</v>
      </c>
      <c r="U34" s="2"/>
      <c r="V34" s="6">
        <f t="shared" si="5"/>
        <v>0.35495816280095766</v>
      </c>
      <c r="W34" s="2"/>
      <c r="X34" s="2">
        <f t="shared" si="6"/>
        <v>-33935.008838461494</v>
      </c>
      <c r="Y34" s="2"/>
      <c r="Z34" s="6">
        <f t="shared" si="7"/>
        <v>-0.29735388137488716</v>
      </c>
    </row>
    <row r="35" spans="1:26" s="70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7">
        <v>5541.93</v>
      </c>
      <c r="E36" s="3"/>
      <c r="F36" s="8">
        <f t="shared" si="0"/>
        <v>0.15481051395113993</v>
      </c>
      <c r="G36" s="3"/>
      <c r="H36" s="7">
        <v>5205.4615384615399</v>
      </c>
      <c r="I36" s="3"/>
      <c r="J36" s="8">
        <f t="shared" si="1"/>
        <v>8.8026744541498947E-2</v>
      </c>
      <c r="K36" s="3"/>
      <c r="L36" s="7">
        <f t="shared" si="2"/>
        <v>336.46846153846036</v>
      </c>
      <c r="M36" s="3"/>
      <c r="N36" s="8">
        <f t="shared" si="3"/>
        <v>6.4637584785210561E-2</v>
      </c>
      <c r="O36" s="12"/>
      <c r="P36" s="7">
        <v>21161.54</v>
      </c>
      <c r="Q36" s="3"/>
      <c r="R36" s="8">
        <f t="shared" si="4"/>
        <v>9.3035392026831643E-2</v>
      </c>
      <c r="S36" s="3"/>
      <c r="T36" s="7">
        <v>45808.061538461501</v>
      </c>
      <c r="U36" s="3"/>
      <c r="V36" s="8">
        <f t="shared" si="5"/>
        <v>0.14247698853685556</v>
      </c>
      <c r="W36" s="3"/>
      <c r="X36" s="7">
        <f t="shared" si="6"/>
        <v>-24646.5215384615</v>
      </c>
      <c r="Y36" s="3"/>
      <c r="Z36" s="8">
        <f t="shared" si="7"/>
        <v>-0.53803895451388428</v>
      </c>
    </row>
    <row r="37" spans="1:26" s="70" customFormat="1" ht="15" hidden="1" customHeight="1" outlineLevel="2" x14ac:dyDescent="0.3">
      <c r="A37" s="26"/>
      <c r="B37" s="12" t="str">
        <f>CONCATENATE("          ","6003"," - ","STAFF HOURLY-9 MONTH")</f>
        <v xml:space="preserve">          6003 - STAFF HOURLY-9 MONTH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7"/>
      <c r="E38" s="3"/>
      <c r="F38" s="8">
        <f t="shared" si="0"/>
        <v>0</v>
      </c>
      <c r="G38" s="3"/>
      <c r="H38" s="7">
        <v>2522.0970000000002</v>
      </c>
      <c r="I38" s="3"/>
      <c r="J38" s="8">
        <f t="shared" si="1"/>
        <v>4.2649818212564472E-2</v>
      </c>
      <c r="K38" s="3"/>
      <c r="L38" s="7">
        <f t="shared" si="2"/>
        <v>-2522.0970000000002</v>
      </c>
      <c r="M38" s="3"/>
      <c r="N38" s="8">
        <f t="shared" si="3"/>
        <v>-1</v>
      </c>
      <c r="O38" s="12"/>
      <c r="P38" s="7"/>
      <c r="Q38" s="3"/>
      <c r="R38" s="8">
        <f t="shared" si="4"/>
        <v>0</v>
      </c>
      <c r="S38" s="3"/>
      <c r="T38" s="7">
        <v>14902.255499999999</v>
      </c>
      <c r="U38" s="3"/>
      <c r="V38" s="8">
        <f t="shared" si="5"/>
        <v>4.6350542125954859E-2</v>
      </c>
      <c r="W38" s="3"/>
      <c r="X38" s="7">
        <f t="shared" si="6"/>
        <v>-14902.255499999999</v>
      </c>
      <c r="Y38" s="3"/>
      <c r="Z38" s="8">
        <f t="shared" si="7"/>
        <v>-1</v>
      </c>
    </row>
    <row r="39" spans="1:26" s="70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7">
        <v>5012.8</v>
      </c>
      <c r="E39" s="3"/>
      <c r="F39" s="8">
        <f t="shared" si="0"/>
        <v>0.14002958253429298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5012.8</v>
      </c>
      <c r="M39" s="3"/>
      <c r="N39" s="8">
        <f t="shared" si="3"/>
        <v>0</v>
      </c>
      <c r="O39" s="12"/>
      <c r="P39" s="7">
        <v>25581.53</v>
      </c>
      <c r="Q39" s="3"/>
      <c r="R39" s="8">
        <f t="shared" si="4"/>
        <v>0.11246760265066504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25581.53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7">
        <v>7587.05</v>
      </c>
      <c r="E41" s="3"/>
      <c r="F41" s="8">
        <f t="shared" si="0"/>
        <v>0.21193972314211768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7587.05</v>
      </c>
      <c r="M41" s="3"/>
      <c r="N41" s="8">
        <f t="shared" si="3"/>
        <v>0</v>
      </c>
      <c r="O41" s="12"/>
      <c r="P41" s="7">
        <v>33445.230000000003</v>
      </c>
      <c r="Q41" s="3"/>
      <c r="R41" s="8">
        <f t="shared" si="4"/>
        <v>0.1470398697106898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33445.230000000003</v>
      </c>
      <c r="Y41" s="3"/>
      <c r="Z41" s="8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7"/>
      <c r="E42" s="3"/>
      <c r="F42" s="8">
        <f t="shared" si="0"/>
        <v>0</v>
      </c>
      <c r="G42" s="3"/>
      <c r="H42" s="7">
        <v>7541.3814000000002</v>
      </c>
      <c r="I42" s="3"/>
      <c r="J42" s="8">
        <f t="shared" si="1"/>
        <v>0.12752822186522364</v>
      </c>
      <c r="K42" s="3"/>
      <c r="L42" s="7">
        <f t="shared" si="2"/>
        <v>-7541.3814000000002</v>
      </c>
      <c r="M42" s="3"/>
      <c r="N42" s="8">
        <f t="shared" si="3"/>
        <v>-1</v>
      </c>
      <c r="O42" s="12"/>
      <c r="P42" s="7"/>
      <c r="Q42" s="3"/>
      <c r="R42" s="8">
        <f t="shared" si="4"/>
        <v>0</v>
      </c>
      <c r="S42" s="3"/>
      <c r="T42" s="7">
        <v>53412.991800000003</v>
      </c>
      <c r="U42" s="3"/>
      <c r="V42" s="8">
        <f t="shared" si="5"/>
        <v>0.16613063213814727</v>
      </c>
      <c r="W42" s="3"/>
      <c r="X42" s="7">
        <f t="shared" si="6"/>
        <v>-53412.991800000003</v>
      </c>
      <c r="Y42" s="3"/>
      <c r="Z42" s="8">
        <f t="shared" si="7"/>
        <v>-1</v>
      </c>
    </row>
    <row r="43" spans="1:26" s="70" customFormat="1" ht="15" hidden="1" customHeight="1" outlineLevel="2" x14ac:dyDescent="0.3">
      <c r="A43" s="26"/>
      <c r="B43" s="12" t="str">
        <f>CONCATENATE("          ","6009"," - ","TEMPORARY-SEASONAL")</f>
        <v xml:space="preserve">          6009 - TEMPORARY-SEASONAL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","6010"," - ","GRATUITY")</f>
        <v xml:space="preserve">          6010 - GRATUITY</v>
      </c>
      <c r="C44" s="12"/>
      <c r="D44" s="7"/>
      <c r="E44" s="3"/>
      <c r="F44" s="8">
        <f t="shared" si="0"/>
        <v>0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/>
      <c r="Q44" s="3"/>
      <c r="R44" s="8">
        <f t="shared" si="4"/>
        <v>0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0</v>
      </c>
      <c r="Y44" s="3"/>
      <c r="Z44" s="8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0</v>
      </c>
      <c r="E45" s="2"/>
      <c r="F45" s="6">
        <f t="shared" si="0"/>
        <v>0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SUM(OSRRefP22_2x_0)</f>
        <v>91.22</v>
      </c>
      <c r="Q45" s="2"/>
      <c r="R45" s="6">
        <f t="shared" si="4"/>
        <v>4.0104304604899178E-4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91.22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91.22</v>
      </c>
      <c r="Q46" s="3"/>
      <c r="R46" s="8">
        <f t="shared" si="4"/>
        <v>4.0104304604899178E-4</v>
      </c>
      <c r="S46" s="3"/>
      <c r="T46" s="7"/>
      <c r="U46" s="3"/>
      <c r="V46" s="8">
        <f t="shared" si="5"/>
        <v>0</v>
      </c>
      <c r="W46" s="3"/>
      <c r="X46" s="7">
        <f t="shared" si="6"/>
        <v>91.22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0.14000000000000001</v>
      </c>
      <c r="E47" s="2"/>
      <c r="F47" s="6">
        <f t="shared" si="0"/>
        <v>3.910816620411949E-6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0.14000000000000001</v>
      </c>
      <c r="M47" s="2"/>
      <c r="N47" s="6">
        <f t="shared" si="3"/>
        <v>0</v>
      </c>
      <c r="O47" s="14"/>
      <c r="P47" s="2">
        <f>SUM(OSRRefP22_3x_0)</f>
        <v>18.13</v>
      </c>
      <c r="Q47" s="2"/>
      <c r="R47" s="6">
        <f t="shared" si="4"/>
        <v>7.9707415313179356E-5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18.13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7">
        <v>0.14000000000000001</v>
      </c>
      <c r="E48" s="3"/>
      <c r="F48" s="8">
        <f t="shared" si="0"/>
        <v>3.910816620411949E-6</v>
      </c>
      <c r="G48" s="3"/>
      <c r="H48" s="7">
        <v>0</v>
      </c>
      <c r="I48" s="3"/>
      <c r="J48" s="8">
        <f t="shared" si="1"/>
        <v>0</v>
      </c>
      <c r="K48" s="3"/>
      <c r="L48" s="7">
        <f t="shared" si="2"/>
        <v>0.14000000000000001</v>
      </c>
      <c r="M48" s="3"/>
      <c r="N48" s="8">
        <f t="shared" si="3"/>
        <v>0</v>
      </c>
      <c r="O48" s="12"/>
      <c r="P48" s="7">
        <v>18.13</v>
      </c>
      <c r="Q48" s="3"/>
      <c r="R48" s="8">
        <f t="shared" si="4"/>
        <v>7.9707415313179356E-5</v>
      </c>
      <c r="S48" s="3"/>
      <c r="T48" s="7">
        <v>0</v>
      </c>
      <c r="U48" s="3"/>
      <c r="V48" s="8">
        <f t="shared" si="5"/>
        <v>0</v>
      </c>
      <c r="W48" s="3"/>
      <c r="X48" s="7">
        <f t="shared" si="6"/>
        <v>18.13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2700.03</v>
      </c>
      <c r="E49" s="2"/>
      <c r="F49" s="6">
        <f t="shared" si="0"/>
        <v>7.5423729997220523E-2</v>
      </c>
      <c r="G49" s="2"/>
      <c r="H49" s="2">
        <f>SUM(OSRRefH22_4x_0)</f>
        <v>3197</v>
      </c>
      <c r="I49" s="2"/>
      <c r="J49" s="6">
        <f t="shared" si="1"/>
        <v>5.4062737803331359E-2</v>
      </c>
      <c r="K49" s="2"/>
      <c r="L49" s="2">
        <f t="shared" si="2"/>
        <v>-496.9699999999998</v>
      </c>
      <c r="M49" s="2"/>
      <c r="N49" s="6">
        <f t="shared" si="3"/>
        <v>-0.15544885830466057</v>
      </c>
      <c r="O49" s="14"/>
      <c r="P49" s="2">
        <f>SUM(OSRRefP22_4x_0)</f>
        <v>10423.93</v>
      </c>
      <c r="Q49" s="2"/>
      <c r="R49" s="6">
        <f t="shared" si="4"/>
        <v>4.582815872617263E-2</v>
      </c>
      <c r="S49" s="2"/>
      <c r="T49" s="2">
        <f>SUM(OSRRefT22_4x_0)</f>
        <v>16167</v>
      </c>
      <c r="U49" s="2"/>
      <c r="V49" s="6">
        <f t="shared" si="5"/>
        <v>5.0284281768643163E-2</v>
      </c>
      <c r="W49" s="2"/>
      <c r="X49" s="2">
        <f t="shared" si="6"/>
        <v>-5743.07</v>
      </c>
      <c r="Y49" s="2"/>
      <c r="Z49" s="6">
        <f t="shared" si="7"/>
        <v>-0.35523411888414669</v>
      </c>
    </row>
    <row r="50" spans="1:26" s="70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7">
        <v>2700.03</v>
      </c>
      <c r="E50" s="3"/>
      <c r="F50" s="8">
        <f t="shared" si="0"/>
        <v>7.5423729997220523E-2</v>
      </c>
      <c r="G50" s="3"/>
      <c r="H50" s="7">
        <v>3197</v>
      </c>
      <c r="I50" s="3"/>
      <c r="J50" s="8">
        <f t="shared" si="1"/>
        <v>5.4062737803331359E-2</v>
      </c>
      <c r="K50" s="3"/>
      <c r="L50" s="7">
        <f t="shared" si="2"/>
        <v>-496.9699999999998</v>
      </c>
      <c r="M50" s="3"/>
      <c r="N50" s="8">
        <f t="shared" si="3"/>
        <v>-0.15544885830466057</v>
      </c>
      <c r="O50" s="12"/>
      <c r="P50" s="7">
        <v>10423.93</v>
      </c>
      <c r="Q50" s="3"/>
      <c r="R50" s="8">
        <f t="shared" si="4"/>
        <v>4.582815872617263E-2</v>
      </c>
      <c r="S50" s="3"/>
      <c r="T50" s="7">
        <v>16167</v>
      </c>
      <c r="U50" s="3"/>
      <c r="V50" s="8">
        <f t="shared" si="5"/>
        <v>5.0284281768643163E-2</v>
      </c>
      <c r="W50" s="3"/>
      <c r="X50" s="7">
        <f t="shared" si="6"/>
        <v>-5743.07</v>
      </c>
      <c r="Y50" s="3"/>
      <c r="Z50" s="8">
        <f t="shared" si="7"/>
        <v>-0.35523411888414669</v>
      </c>
    </row>
    <row r="51" spans="1:26" s="69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5471.21</v>
      </c>
      <c r="E51" s="2"/>
      <c r="F51" s="6">
        <f t="shared" si="0"/>
        <v>0.15283499286974325</v>
      </c>
      <c r="G51" s="2"/>
      <c r="H51" s="2">
        <f>SUM(OSRRefH22_5x_0)</f>
        <v>5471</v>
      </c>
      <c r="I51" s="2"/>
      <c r="J51" s="6">
        <f t="shared" si="1"/>
        <v>9.2517121839857955E-2</v>
      </c>
      <c r="K51" s="2"/>
      <c r="L51" s="2">
        <f t="shared" si="2"/>
        <v>0.21000000000003638</v>
      </c>
      <c r="M51" s="2"/>
      <c r="N51" s="6">
        <f t="shared" si="3"/>
        <v>3.8384207640291792E-5</v>
      </c>
      <c r="O51" s="14"/>
      <c r="P51" s="2">
        <f>SUM(OSRRefP22_5x_0)</f>
        <v>54712.1</v>
      </c>
      <c r="Q51" s="2"/>
      <c r="R51" s="6">
        <f t="shared" si="4"/>
        <v>0.24053833851937123</v>
      </c>
      <c r="S51" s="2"/>
      <c r="T51" s="2">
        <f>SUM(OSRRefT22_5x_0)</f>
        <v>54710</v>
      </c>
      <c r="U51" s="2"/>
      <c r="V51" s="6">
        <f t="shared" si="5"/>
        <v>0.17016472169001468</v>
      </c>
      <c r="W51" s="2"/>
      <c r="X51" s="2">
        <f t="shared" si="6"/>
        <v>2.0999999999985448</v>
      </c>
      <c r="Y51" s="2"/>
      <c r="Z51" s="6">
        <f t="shared" si="7"/>
        <v>3.8384207640258541E-5</v>
      </c>
    </row>
    <row r="52" spans="1:26" s="70" customFormat="1" ht="15" hidden="1" customHeight="1" outlineLevel="2" x14ac:dyDescent="0.3">
      <c r="A52" s="26"/>
      <c r="B52" s="12" t="str">
        <f>CONCATENATE("          ","6321"," - ","BUILDING DEPRECIATION")</f>
        <v xml:space="preserve">          6321 - BUILDING DEPRECIATION</v>
      </c>
      <c r="C52" s="12"/>
      <c r="D52" s="7">
        <v>5080.51</v>
      </c>
      <c r="E52" s="3"/>
      <c r="F52" s="8">
        <f t="shared" si="0"/>
        <v>0.14192102105835078</v>
      </c>
      <c r="G52" s="3"/>
      <c r="H52" s="7"/>
      <c r="I52" s="3"/>
      <c r="J52" s="8">
        <f t="shared" si="1"/>
        <v>0</v>
      </c>
      <c r="K52" s="3"/>
      <c r="L52" s="7">
        <f t="shared" si="2"/>
        <v>5080.51</v>
      </c>
      <c r="M52" s="3"/>
      <c r="N52" s="8">
        <f t="shared" si="3"/>
        <v>0</v>
      </c>
      <c r="O52" s="12"/>
      <c r="P52" s="7">
        <v>50805.1</v>
      </c>
      <c r="Q52" s="3"/>
      <c r="R52" s="8">
        <f t="shared" si="4"/>
        <v>0.22336145646594641</v>
      </c>
      <c r="S52" s="3"/>
      <c r="T52" s="7"/>
      <c r="U52" s="3"/>
      <c r="V52" s="8">
        <f t="shared" si="5"/>
        <v>0</v>
      </c>
      <c r="W52" s="3"/>
      <c r="X52" s="7">
        <f t="shared" si="6"/>
        <v>50805.1</v>
      </c>
      <c r="Y52" s="3"/>
      <c r="Z52" s="8">
        <f t="shared" si="7"/>
        <v>0</v>
      </c>
    </row>
    <row r="53" spans="1:26" s="70" customFormat="1" ht="15" hidden="1" customHeight="1" outlineLevel="2" x14ac:dyDescent="0.3">
      <c r="A53" s="26"/>
      <c r="B53" s="12" t="str">
        <f>CONCATENATE("          ","6322"," - ","EQUIPMENT DEPRECIATION EXPENSE")</f>
        <v xml:space="preserve">          6322 - EQUIPMENT DEPRECIATION EXPENSE</v>
      </c>
      <c r="C53" s="12"/>
      <c r="D53" s="7">
        <v>390.7</v>
      </c>
      <c r="E53" s="3"/>
      <c r="F53" s="8">
        <f t="shared" si="0"/>
        <v>1.0913971811392488E-2</v>
      </c>
      <c r="G53" s="3"/>
      <c r="H53" s="7">
        <v>5471</v>
      </c>
      <c r="I53" s="3"/>
      <c r="J53" s="8">
        <f t="shared" si="1"/>
        <v>9.2517121839857955E-2</v>
      </c>
      <c r="K53" s="3"/>
      <c r="L53" s="7">
        <f t="shared" si="2"/>
        <v>-5080.3</v>
      </c>
      <c r="M53" s="3"/>
      <c r="N53" s="8">
        <f t="shared" si="3"/>
        <v>-0.92858709559495523</v>
      </c>
      <c r="O53" s="12"/>
      <c r="P53" s="7">
        <v>3907</v>
      </c>
      <c r="Q53" s="3"/>
      <c r="R53" s="8">
        <f t="shared" si="4"/>
        <v>1.7176882053424807E-2</v>
      </c>
      <c r="S53" s="3"/>
      <c r="T53" s="7">
        <v>54710</v>
      </c>
      <c r="U53" s="3"/>
      <c r="V53" s="8">
        <f t="shared" si="5"/>
        <v>0.17016472169001468</v>
      </c>
      <c r="W53" s="3"/>
      <c r="X53" s="7">
        <f t="shared" si="6"/>
        <v>-50803</v>
      </c>
      <c r="Y53" s="3"/>
      <c r="Z53" s="8">
        <f t="shared" si="7"/>
        <v>-0.92858709559495523</v>
      </c>
    </row>
    <row r="54" spans="1:26" s="69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SUM(OSRRefD22_6x_0)</f>
        <v>0</v>
      </c>
      <c r="E54" s="2"/>
      <c r="F54" s="6">
        <f t="shared" si="0"/>
        <v>0</v>
      </c>
      <c r="G54" s="2"/>
      <c r="H54" s="2">
        <f>SUM(OSRRefH22_6x_0)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SUM(OSRRefP22_6x_0)</f>
        <v>0</v>
      </c>
      <c r="Q54" s="2"/>
      <c r="R54" s="6">
        <f t="shared" si="4"/>
        <v>0</v>
      </c>
      <c r="S54" s="2"/>
      <c r="T54" s="2">
        <f>SUM(OSRRefT22_6x_0)</f>
        <v>50</v>
      </c>
      <c r="U54" s="2"/>
      <c r="V54" s="6">
        <f t="shared" si="5"/>
        <v>1.5551519072382991E-4</v>
      </c>
      <c r="W54" s="2"/>
      <c r="X54" s="2">
        <f t="shared" si="6"/>
        <v>-50</v>
      </c>
      <c r="Y54" s="2"/>
      <c r="Z54" s="6">
        <f t="shared" si="7"/>
        <v>-1</v>
      </c>
    </row>
    <row r="55" spans="1:26" s="70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7"/>
      <c r="E55" s="3"/>
      <c r="F55" s="8">
        <f t="shared" ref="F55:F85" si="8">IF(D$12=0,0,D55/D$12)</f>
        <v>0</v>
      </c>
      <c r="G55" s="3"/>
      <c r="H55" s="7"/>
      <c r="I55" s="3"/>
      <c r="J55" s="8">
        <f t="shared" ref="J55:J85" si="9">IF(H$12=0,0,H55/H$12)</f>
        <v>0</v>
      </c>
      <c r="K55" s="3"/>
      <c r="L55" s="7">
        <f t="shared" ref="L55:L85" si="10">+D55-H55</f>
        <v>0</v>
      </c>
      <c r="M55" s="3"/>
      <c r="N55" s="8">
        <f t="shared" ref="N55:N85" si="11">IF(H55=0,0,L55/H55)</f>
        <v>0</v>
      </c>
      <c r="O55" s="12"/>
      <c r="P55" s="7"/>
      <c r="Q55" s="3"/>
      <c r="R55" s="8">
        <f t="shared" ref="R55:R85" si="12">IF(P$12=0,0,P55/P$12)</f>
        <v>0</v>
      </c>
      <c r="S55" s="3"/>
      <c r="T55" s="7">
        <v>50</v>
      </c>
      <c r="U55" s="3"/>
      <c r="V55" s="8">
        <f t="shared" ref="V55:V85" si="13">IF(T$12=0,0,T55/T$12)</f>
        <v>1.5551519072382991E-4</v>
      </c>
      <c r="W55" s="3"/>
      <c r="X55" s="7">
        <f t="shared" ref="X55:X85" si="14">+P55-T55</f>
        <v>-50</v>
      </c>
      <c r="Y55" s="3"/>
      <c r="Z55" s="8">
        <f t="shared" ref="Z55:Z85" si="15">IF(T55=0,0,X55/T55)</f>
        <v>-1</v>
      </c>
    </row>
    <row r="56" spans="1:26" s="69" customFormat="1" ht="15" customHeight="1" outlineLevel="1" collapsed="1" x14ac:dyDescent="0.3">
      <c r="A56" s="25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SUM(OSRRefD22_7x_0)</f>
        <v>0</v>
      </c>
      <c r="E56" s="2"/>
      <c r="F56" s="6">
        <f t="shared" si="8"/>
        <v>0</v>
      </c>
      <c r="G56" s="2"/>
      <c r="H56" s="2">
        <f>SUM(OSRRefH22_7x_0)</f>
        <v>176</v>
      </c>
      <c r="I56" s="2"/>
      <c r="J56" s="6">
        <f t="shared" si="9"/>
        <v>2.976240804937854E-3</v>
      </c>
      <c r="K56" s="2"/>
      <c r="L56" s="2">
        <f t="shared" si="10"/>
        <v>-176</v>
      </c>
      <c r="M56" s="2"/>
      <c r="N56" s="6">
        <f t="shared" si="11"/>
        <v>-1</v>
      </c>
      <c r="O56" s="14"/>
      <c r="P56" s="2">
        <f>SUM(OSRRefP22_7x_0)</f>
        <v>0</v>
      </c>
      <c r="Q56" s="2"/>
      <c r="R56" s="6">
        <f t="shared" si="12"/>
        <v>0</v>
      </c>
      <c r="S56" s="2"/>
      <c r="T56" s="2">
        <f>SUM(OSRRefT22_7x_0)</f>
        <v>1760</v>
      </c>
      <c r="U56" s="2"/>
      <c r="V56" s="6">
        <f t="shared" si="13"/>
        <v>5.4741347134788128E-3</v>
      </c>
      <c r="W56" s="2"/>
      <c r="X56" s="2">
        <f t="shared" si="14"/>
        <v>-1760</v>
      </c>
      <c r="Y56" s="2"/>
      <c r="Z56" s="6">
        <f t="shared" si="15"/>
        <v>-1</v>
      </c>
    </row>
    <row r="57" spans="1:26" s="70" customFormat="1" ht="15" hidden="1" customHeight="1" outlineLevel="2" x14ac:dyDescent="0.3">
      <c r="A57" s="26"/>
      <c r="B57" s="12" t="str">
        <f>CONCATENATE("          ","6351"," - ","EQUIPMENT RENTAL")</f>
        <v xml:space="preserve">          6351 - EQUIPMENT RENTAL</v>
      </c>
      <c r="C57" s="12"/>
      <c r="D57" s="7"/>
      <c r="E57" s="3"/>
      <c r="F57" s="8">
        <f t="shared" si="8"/>
        <v>0</v>
      </c>
      <c r="G57" s="3"/>
      <c r="H57" s="7">
        <v>176</v>
      </c>
      <c r="I57" s="3"/>
      <c r="J57" s="8">
        <f t="shared" si="9"/>
        <v>2.976240804937854E-3</v>
      </c>
      <c r="K57" s="3"/>
      <c r="L57" s="7">
        <f t="shared" si="10"/>
        <v>-176</v>
      </c>
      <c r="M57" s="3"/>
      <c r="N57" s="8">
        <f t="shared" si="11"/>
        <v>-1</v>
      </c>
      <c r="O57" s="12"/>
      <c r="P57" s="7"/>
      <c r="Q57" s="3"/>
      <c r="R57" s="8">
        <f t="shared" si="12"/>
        <v>0</v>
      </c>
      <c r="S57" s="3"/>
      <c r="T57" s="7">
        <v>1760</v>
      </c>
      <c r="U57" s="3"/>
      <c r="V57" s="8">
        <f t="shared" si="13"/>
        <v>5.4741347134788128E-3</v>
      </c>
      <c r="W57" s="3"/>
      <c r="X57" s="7">
        <f t="shared" si="14"/>
        <v>-1760</v>
      </c>
      <c r="Y57" s="3"/>
      <c r="Z57" s="8">
        <f t="shared" si="15"/>
        <v>-1</v>
      </c>
    </row>
    <row r="58" spans="1:26" s="69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SUM(OSRRefP22_8x_0)</f>
        <v>1002.45</v>
      </c>
      <c r="Q58" s="2"/>
      <c r="R58" s="6">
        <f t="shared" si="12"/>
        <v>4.4072089619799585E-3</v>
      </c>
      <c r="S58" s="2"/>
      <c r="T58" s="2">
        <f>SUM(OSRRefT22_8x_0)</f>
        <v>455</v>
      </c>
      <c r="U58" s="2"/>
      <c r="V58" s="6">
        <f t="shared" si="13"/>
        <v>1.4151882355868521E-3</v>
      </c>
      <c r="W58" s="2"/>
      <c r="X58" s="2">
        <f t="shared" si="14"/>
        <v>547.45000000000005</v>
      </c>
      <c r="Y58" s="2"/>
      <c r="Z58" s="6">
        <f t="shared" si="15"/>
        <v>1.2031868131868133</v>
      </c>
    </row>
    <row r="59" spans="1:26" s="70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>
        <v>1002.45</v>
      </c>
      <c r="Q59" s="3"/>
      <c r="R59" s="8">
        <f t="shared" si="12"/>
        <v>4.4072089619799585E-3</v>
      </c>
      <c r="S59" s="3"/>
      <c r="T59" s="7">
        <v>455</v>
      </c>
      <c r="U59" s="3"/>
      <c r="V59" s="8">
        <f t="shared" si="13"/>
        <v>1.4151882355868521E-3</v>
      </c>
      <c r="W59" s="3"/>
      <c r="X59" s="7">
        <f t="shared" si="14"/>
        <v>547.45000000000005</v>
      </c>
      <c r="Y59" s="3"/>
      <c r="Z59" s="8">
        <f t="shared" si="15"/>
        <v>1.2031868131868133</v>
      </c>
    </row>
    <row r="60" spans="1:26" s="69" customFormat="1" ht="15" customHeight="1" outlineLevel="1" collapsed="1" x14ac:dyDescent="0.3">
      <c r="A60" s="25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SUM(OSRRefD22_9x_0)</f>
        <v>331.01</v>
      </c>
      <c r="E60" s="2"/>
      <c r="F60" s="6">
        <f t="shared" si="8"/>
        <v>9.246567210875422E-3</v>
      </c>
      <c r="G60" s="2"/>
      <c r="H60" s="2">
        <f>SUM(OSRRefH22_9x_0)</f>
        <v>330</v>
      </c>
      <c r="I60" s="2"/>
      <c r="J60" s="6">
        <f t="shared" si="9"/>
        <v>5.5804515092584767E-3</v>
      </c>
      <c r="K60" s="2"/>
      <c r="L60" s="2">
        <f t="shared" si="10"/>
        <v>1.0099999999999909</v>
      </c>
      <c r="M60" s="2"/>
      <c r="N60" s="6">
        <f t="shared" si="11"/>
        <v>3.0606060606060332E-3</v>
      </c>
      <c r="O60" s="14"/>
      <c r="P60" s="2">
        <f>SUM(OSRRefP22_9x_0)</f>
        <v>3310.1</v>
      </c>
      <c r="Q60" s="2"/>
      <c r="R60" s="6">
        <f t="shared" si="12"/>
        <v>1.4552648396478489E-2</v>
      </c>
      <c r="S60" s="2"/>
      <c r="T60" s="2">
        <f>SUM(OSRRefT22_9x_0)</f>
        <v>3300</v>
      </c>
      <c r="U60" s="2"/>
      <c r="V60" s="6">
        <f t="shared" si="13"/>
        <v>1.0264002587772774E-2</v>
      </c>
      <c r="W60" s="2"/>
      <c r="X60" s="2">
        <f t="shared" si="14"/>
        <v>10.099999999999909</v>
      </c>
      <c r="Y60" s="2"/>
      <c r="Z60" s="6">
        <f t="shared" si="15"/>
        <v>3.0606060606060332E-3</v>
      </c>
    </row>
    <row r="61" spans="1:26" s="70" customFormat="1" ht="15" hidden="1" customHeight="1" outlineLevel="2" x14ac:dyDescent="0.3">
      <c r="A61" s="26"/>
      <c r="B61" s="12" t="str">
        <f>CONCATENATE("          ","6314"," - ","LIABILITY INSURANCE")</f>
        <v xml:space="preserve">          6314 - LIABILITY INSURANCE</v>
      </c>
      <c r="C61" s="12"/>
      <c r="D61" s="7">
        <v>331.01</v>
      </c>
      <c r="E61" s="3"/>
      <c r="F61" s="8">
        <f t="shared" si="8"/>
        <v>9.246567210875422E-3</v>
      </c>
      <c r="G61" s="3"/>
      <c r="H61" s="7">
        <v>330</v>
      </c>
      <c r="I61" s="3"/>
      <c r="J61" s="8">
        <f t="shared" si="9"/>
        <v>5.5804515092584767E-3</v>
      </c>
      <c r="K61" s="3"/>
      <c r="L61" s="7">
        <f t="shared" si="10"/>
        <v>1.0099999999999909</v>
      </c>
      <c r="M61" s="3"/>
      <c r="N61" s="8">
        <f t="shared" si="11"/>
        <v>3.0606060606060332E-3</v>
      </c>
      <c r="O61" s="12"/>
      <c r="P61" s="7">
        <v>3310.1</v>
      </c>
      <c r="Q61" s="3"/>
      <c r="R61" s="8">
        <f t="shared" si="12"/>
        <v>1.4552648396478489E-2</v>
      </c>
      <c r="S61" s="3"/>
      <c r="T61" s="7">
        <v>3300</v>
      </c>
      <c r="U61" s="3"/>
      <c r="V61" s="8">
        <f t="shared" si="13"/>
        <v>1.0264002587772774E-2</v>
      </c>
      <c r="W61" s="3"/>
      <c r="X61" s="7">
        <f t="shared" si="14"/>
        <v>10.099999999999909</v>
      </c>
      <c r="Y61" s="3"/>
      <c r="Z61" s="8">
        <f t="shared" si="15"/>
        <v>3.0606060606060332E-3</v>
      </c>
    </row>
    <row r="62" spans="1:26" s="69" customFormat="1" ht="15" customHeight="1" outlineLevel="1" collapsed="1" x14ac:dyDescent="0.3">
      <c r="A62" s="25"/>
      <c r="B62" s="14" t="str">
        <f>CONCATENATE("     ","Interest                                          ")</f>
        <v xml:space="preserve">     Interest                                          </v>
      </c>
      <c r="C62" s="14"/>
      <c r="D62" s="2">
        <f>SUM(OSRRefD22_10x_0)</f>
        <v>3031</v>
      </c>
      <c r="E62" s="2"/>
      <c r="F62" s="6">
        <f t="shared" si="8"/>
        <v>8.4669179831918684E-2</v>
      </c>
      <c r="G62" s="2"/>
      <c r="H62" s="2">
        <f>SUM(OSRRefH22_10x_0)</f>
        <v>3905</v>
      </c>
      <c r="I62" s="2"/>
      <c r="J62" s="6">
        <f t="shared" si="9"/>
        <v>6.6035342859558643E-2</v>
      </c>
      <c r="K62" s="2"/>
      <c r="L62" s="2">
        <f t="shared" si="10"/>
        <v>-874</v>
      </c>
      <c r="M62" s="2"/>
      <c r="N62" s="6">
        <f t="shared" si="11"/>
        <v>-0.2238156209987196</v>
      </c>
      <c r="O62" s="14"/>
      <c r="P62" s="2">
        <f>SUM(OSRRefP22_10x_0)</f>
        <v>37900</v>
      </c>
      <c r="Q62" s="2"/>
      <c r="R62" s="6">
        <f t="shared" si="12"/>
        <v>0.16662498843736887</v>
      </c>
      <c r="S62" s="2"/>
      <c r="T62" s="2">
        <f>SUM(OSRRefT22_10x_0)</f>
        <v>39050</v>
      </c>
      <c r="U62" s="2"/>
      <c r="V62" s="6">
        <f t="shared" si="13"/>
        <v>0.12145736395531115</v>
      </c>
      <c r="W62" s="2"/>
      <c r="X62" s="2">
        <f t="shared" si="14"/>
        <v>-1150</v>
      </c>
      <c r="Y62" s="2"/>
      <c r="Z62" s="6">
        <f t="shared" si="15"/>
        <v>-2.9449423815621E-2</v>
      </c>
    </row>
    <row r="63" spans="1:26" s="70" customFormat="1" ht="15" hidden="1" customHeight="1" outlineLevel="2" x14ac:dyDescent="0.3">
      <c r="A63" s="26"/>
      <c r="B63" s="12" t="str">
        <f>CONCATENATE("          ","6401"," - ","INTEREST EXPENSE")</f>
        <v xml:space="preserve">          6401 - INTEREST EXPENSE</v>
      </c>
      <c r="C63" s="12"/>
      <c r="D63" s="7">
        <v>3031</v>
      </c>
      <c r="E63" s="3"/>
      <c r="F63" s="8">
        <f t="shared" si="8"/>
        <v>8.4669179831918684E-2</v>
      </c>
      <c r="G63" s="3"/>
      <c r="H63" s="7">
        <v>3905</v>
      </c>
      <c r="I63" s="3"/>
      <c r="J63" s="8">
        <f t="shared" si="9"/>
        <v>6.6035342859558643E-2</v>
      </c>
      <c r="K63" s="3"/>
      <c r="L63" s="7">
        <f t="shared" si="10"/>
        <v>-874</v>
      </c>
      <c r="M63" s="3"/>
      <c r="N63" s="8">
        <f t="shared" si="11"/>
        <v>-0.2238156209987196</v>
      </c>
      <c r="O63" s="12"/>
      <c r="P63" s="7">
        <v>37900</v>
      </c>
      <c r="Q63" s="3"/>
      <c r="R63" s="8">
        <f t="shared" si="12"/>
        <v>0.16662498843736887</v>
      </c>
      <c r="S63" s="3"/>
      <c r="T63" s="7">
        <v>39050</v>
      </c>
      <c r="U63" s="3"/>
      <c r="V63" s="8">
        <f t="shared" si="13"/>
        <v>0.12145736395531115</v>
      </c>
      <c r="W63" s="3"/>
      <c r="X63" s="7">
        <f t="shared" si="14"/>
        <v>-1150</v>
      </c>
      <c r="Y63" s="3"/>
      <c r="Z63" s="8">
        <f t="shared" si="15"/>
        <v>-2.9449423815621E-2</v>
      </c>
    </row>
    <row r="64" spans="1:26" s="69" customFormat="1" ht="15" customHeight="1" outlineLevel="1" collapsed="1" x14ac:dyDescent="0.3">
      <c r="A64" s="25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SUM(OSRRefD22_11x_0)</f>
        <v>0</v>
      </c>
      <c r="E64" s="2"/>
      <c r="F64" s="6">
        <f t="shared" si="8"/>
        <v>0</v>
      </c>
      <c r="G64" s="2"/>
      <c r="H64" s="2">
        <f>SUM(OSRRefH22_11x_0)</f>
        <v>100</v>
      </c>
      <c r="I64" s="2"/>
      <c r="J64" s="6">
        <f t="shared" si="9"/>
        <v>1.6910459118965079E-3</v>
      </c>
      <c r="K64" s="2"/>
      <c r="L64" s="2">
        <f t="shared" si="10"/>
        <v>-100</v>
      </c>
      <c r="M64" s="2"/>
      <c r="N64" s="6">
        <f t="shared" si="11"/>
        <v>-1</v>
      </c>
      <c r="O64" s="14"/>
      <c r="P64" s="2">
        <f>SUM(OSRRefP22_11x_0)</f>
        <v>2894.93</v>
      </c>
      <c r="Q64" s="2"/>
      <c r="R64" s="6">
        <f t="shared" si="12"/>
        <v>1.2727379360870508E-2</v>
      </c>
      <c r="S64" s="2"/>
      <c r="T64" s="2">
        <f>SUM(OSRRefT22_11x_0)</f>
        <v>5513</v>
      </c>
      <c r="U64" s="2"/>
      <c r="V64" s="6">
        <f t="shared" si="13"/>
        <v>1.7147104929209483E-2</v>
      </c>
      <c r="W64" s="2"/>
      <c r="X64" s="2">
        <f t="shared" si="14"/>
        <v>-2618.0700000000002</v>
      </c>
      <c r="Y64" s="2"/>
      <c r="Z64" s="6">
        <f t="shared" si="15"/>
        <v>-0.47489025938690371</v>
      </c>
    </row>
    <row r="65" spans="1:26" s="70" customFormat="1" ht="15" hidden="1" customHeight="1" outlineLevel="2" x14ac:dyDescent="0.3">
      <c r="A65" s="26"/>
      <c r="B65" s="12" t="str">
        <f>CONCATENATE("          ","6371"," - ","COMPUTER SOFTWARE MAINTENANCE")</f>
        <v xml:space="preserve">          6371 - COMPUTER SOFTWARE MAINTENANCE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/>
      <c r="Q65" s="3"/>
      <c r="R65" s="8">
        <f t="shared" si="12"/>
        <v>0</v>
      </c>
      <c r="S65" s="3"/>
      <c r="T65" s="7">
        <v>2623</v>
      </c>
      <c r="U65" s="3"/>
      <c r="V65" s="8">
        <f t="shared" si="13"/>
        <v>8.1583269053721163E-3</v>
      </c>
      <c r="W65" s="3"/>
      <c r="X65" s="7">
        <f t="shared" si="14"/>
        <v>-2623</v>
      </c>
      <c r="Y65" s="3"/>
      <c r="Z65" s="8">
        <f t="shared" si="15"/>
        <v>-1</v>
      </c>
    </row>
    <row r="66" spans="1:26" s="70" customFormat="1" ht="15" hidden="1" customHeight="1" outlineLevel="2" x14ac:dyDescent="0.3">
      <c r="A66" s="26"/>
      <c r="B66" s="12" t="str">
        <f>CONCATENATE("          ","6373"," - ","MAINTENANCE CONTRACTS")</f>
        <v xml:space="preserve">          6373 - MAINTENANCE CONTRACTS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733.68</v>
      </c>
      <c r="Q66" s="3"/>
      <c r="R66" s="8">
        <f t="shared" si="12"/>
        <v>3.2255784041353244E-3</v>
      </c>
      <c r="S66" s="3"/>
      <c r="T66" s="7">
        <v>260</v>
      </c>
      <c r="U66" s="3"/>
      <c r="V66" s="8">
        <f t="shared" si="13"/>
        <v>8.0867899176391552E-4</v>
      </c>
      <c r="W66" s="3"/>
      <c r="X66" s="7">
        <f t="shared" si="14"/>
        <v>473.67999999999995</v>
      </c>
      <c r="Y66" s="3"/>
      <c r="Z66" s="8">
        <f t="shared" si="15"/>
        <v>1.8218461538461537</v>
      </c>
    </row>
    <row r="67" spans="1:26" s="70" customFormat="1" ht="15" hidden="1" customHeight="1" outlineLevel="2" x14ac:dyDescent="0.3">
      <c r="A67" s="26"/>
      <c r="B67" s="12" t="str">
        <f>CONCATENATE("          ","6375"," - ","OUTSIDE REPAIRS &amp; MAINTENANCE")</f>
        <v xml:space="preserve">          6375 - OUTSIDE REPAIRS &amp; MAINTENANCE</v>
      </c>
      <c r="C67" s="12"/>
      <c r="D67" s="7"/>
      <c r="E67" s="3"/>
      <c r="F67" s="8">
        <f t="shared" si="8"/>
        <v>0</v>
      </c>
      <c r="G67" s="3"/>
      <c r="H67" s="7">
        <v>100</v>
      </c>
      <c r="I67" s="3"/>
      <c r="J67" s="8">
        <f t="shared" si="9"/>
        <v>1.6910459118965079E-3</v>
      </c>
      <c r="K67" s="3"/>
      <c r="L67" s="7">
        <f t="shared" si="10"/>
        <v>-100</v>
      </c>
      <c r="M67" s="3"/>
      <c r="N67" s="8">
        <f t="shared" si="11"/>
        <v>-1</v>
      </c>
      <c r="O67" s="12"/>
      <c r="P67" s="7">
        <v>2161.25</v>
      </c>
      <c r="Q67" s="3"/>
      <c r="R67" s="8">
        <f t="shared" si="12"/>
        <v>9.5018009567351836E-3</v>
      </c>
      <c r="S67" s="3"/>
      <c r="T67" s="7">
        <v>2630</v>
      </c>
      <c r="U67" s="3"/>
      <c r="V67" s="8">
        <f t="shared" si="13"/>
        <v>8.180099032073453E-3</v>
      </c>
      <c r="W67" s="3"/>
      <c r="X67" s="7">
        <f t="shared" si="14"/>
        <v>-468.75</v>
      </c>
      <c r="Y67" s="3"/>
      <c r="Z67" s="8">
        <f t="shared" si="15"/>
        <v>-0.17823193916349811</v>
      </c>
    </row>
    <row r="68" spans="1:26" s="69" customFormat="1" ht="15" customHeight="1" outlineLevel="1" collapsed="1" x14ac:dyDescent="0.3">
      <c r="A68" s="25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SUM(OSRRefD22_12x_0)</f>
        <v>474.17</v>
      </c>
      <c r="E68" s="2"/>
      <c r="F68" s="6">
        <f t="shared" si="8"/>
        <v>1.3245656549290954E-2</v>
      </c>
      <c r="G68" s="2"/>
      <c r="H68" s="2">
        <f>SUM(OSRRefH22_12x_0)</f>
        <v>192</v>
      </c>
      <c r="I68" s="2"/>
      <c r="J68" s="6">
        <f t="shared" si="9"/>
        <v>3.2468081508412955E-3</v>
      </c>
      <c r="K68" s="2"/>
      <c r="L68" s="2">
        <f t="shared" si="10"/>
        <v>282.17</v>
      </c>
      <c r="M68" s="2"/>
      <c r="N68" s="6">
        <f t="shared" si="11"/>
        <v>1.4696354166666667</v>
      </c>
      <c r="O68" s="14"/>
      <c r="P68" s="2">
        <f>SUM(OSRRefP22_12x_0)</f>
        <v>9843.2200000000012</v>
      </c>
      <c r="Q68" s="2"/>
      <c r="R68" s="6">
        <f t="shared" si="12"/>
        <v>4.3275103395421587E-2</v>
      </c>
      <c r="S68" s="2"/>
      <c r="T68" s="2">
        <f>SUM(OSRRefT22_12x_0)</f>
        <v>1737</v>
      </c>
      <c r="U68" s="2"/>
      <c r="V68" s="6">
        <f t="shared" si="13"/>
        <v>5.4025977257458509E-3</v>
      </c>
      <c r="W68" s="2"/>
      <c r="X68" s="2">
        <f t="shared" si="14"/>
        <v>8106.2200000000012</v>
      </c>
      <c r="Y68" s="2"/>
      <c r="Z68" s="6">
        <f t="shared" si="15"/>
        <v>4.6667933218192292</v>
      </c>
    </row>
    <row r="69" spans="1:26" s="70" customFormat="1" ht="15" hidden="1" customHeight="1" outlineLevel="2" x14ac:dyDescent="0.3">
      <c r="A69" s="26"/>
      <c r="B69" s="12" t="str">
        <f>CONCATENATE("          ","6282"," - ","JANITORIAL/EXTERMINATOR EXPENS")</f>
        <v xml:space="preserve">          6282 - JANITORIAL/EXTERMINATOR EXPENS</v>
      </c>
      <c r="C69" s="12"/>
      <c r="D69" s="7">
        <v>370.5</v>
      </c>
      <c r="E69" s="3"/>
      <c r="F69" s="8">
        <f t="shared" si="8"/>
        <v>1.0349696841875906E-2</v>
      </c>
      <c r="G69" s="3"/>
      <c r="H69" s="7">
        <v>158</v>
      </c>
      <c r="I69" s="3"/>
      <c r="J69" s="8">
        <f t="shared" si="9"/>
        <v>2.6718525407964824E-3</v>
      </c>
      <c r="K69" s="3"/>
      <c r="L69" s="7">
        <f t="shared" si="10"/>
        <v>212.5</v>
      </c>
      <c r="M69" s="3"/>
      <c r="N69" s="8">
        <f t="shared" si="11"/>
        <v>1.3449367088607596</v>
      </c>
      <c r="O69" s="12"/>
      <c r="P69" s="7">
        <v>1717.7</v>
      </c>
      <c r="Q69" s="3"/>
      <c r="R69" s="8">
        <f t="shared" si="12"/>
        <v>7.5517610194952116E-3</v>
      </c>
      <c r="S69" s="3"/>
      <c r="T69" s="7">
        <v>1422</v>
      </c>
      <c r="U69" s="3"/>
      <c r="V69" s="8">
        <f t="shared" si="13"/>
        <v>4.4228520241857226E-3</v>
      </c>
      <c r="W69" s="3"/>
      <c r="X69" s="7">
        <f t="shared" si="14"/>
        <v>295.70000000000005</v>
      </c>
      <c r="Y69" s="3"/>
      <c r="Z69" s="8">
        <f t="shared" si="15"/>
        <v>0.20794655414908583</v>
      </c>
    </row>
    <row r="70" spans="1:26" s="70" customFormat="1" ht="15" hidden="1" customHeight="1" outlineLevel="2" x14ac:dyDescent="0.3">
      <c r="A70" s="26"/>
      <c r="B70" s="12" t="str">
        <f>CONCATENATE("          ","6285"," - ","JANITORIAL SERVICES")</f>
        <v xml:space="preserve">          6285 - JANITORIAL SERVICES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7286.6</v>
      </c>
      <c r="Q70" s="3"/>
      <c r="R70" s="8">
        <f t="shared" si="12"/>
        <v>3.2035082869333299E-2</v>
      </c>
      <c r="S70" s="3"/>
      <c r="T70" s="7"/>
      <c r="U70" s="3"/>
      <c r="V70" s="8">
        <f t="shared" si="13"/>
        <v>0</v>
      </c>
      <c r="W70" s="3"/>
      <c r="X70" s="7">
        <f t="shared" si="14"/>
        <v>7286.6</v>
      </c>
      <c r="Y70" s="3"/>
      <c r="Z70" s="8">
        <f t="shared" si="15"/>
        <v>0</v>
      </c>
    </row>
    <row r="71" spans="1:26" s="70" customFormat="1" ht="15" hidden="1" customHeight="1" outlineLevel="2" x14ac:dyDescent="0.3">
      <c r="A71" s="26"/>
      <c r="B71" s="12" t="str">
        <f>CONCATENATE("          ","6286"," - ","LAUNDRY EXPENSE")</f>
        <v xml:space="preserve">          6286 - LAUNDRY EXPENSE</v>
      </c>
      <c r="C71" s="12"/>
      <c r="D71" s="7">
        <v>103.67</v>
      </c>
      <c r="E71" s="3"/>
      <c r="F71" s="8">
        <f t="shared" si="8"/>
        <v>2.895959707415048E-3</v>
      </c>
      <c r="G71" s="3"/>
      <c r="H71" s="7">
        <v>34</v>
      </c>
      <c r="I71" s="3"/>
      <c r="J71" s="8">
        <f t="shared" si="9"/>
        <v>5.7495561004481267E-4</v>
      </c>
      <c r="K71" s="3"/>
      <c r="L71" s="7">
        <f t="shared" si="10"/>
        <v>69.67</v>
      </c>
      <c r="M71" s="3"/>
      <c r="N71" s="8">
        <f t="shared" si="11"/>
        <v>2.0491176470588237</v>
      </c>
      <c r="O71" s="12"/>
      <c r="P71" s="7">
        <v>838.92</v>
      </c>
      <c r="Q71" s="3"/>
      <c r="R71" s="8">
        <f t="shared" si="12"/>
        <v>3.6882595065930736E-3</v>
      </c>
      <c r="S71" s="3"/>
      <c r="T71" s="7">
        <v>315</v>
      </c>
      <c r="U71" s="3"/>
      <c r="V71" s="8">
        <f t="shared" si="13"/>
        <v>9.7974570156012832E-4</v>
      </c>
      <c r="W71" s="3"/>
      <c r="X71" s="7">
        <f t="shared" si="14"/>
        <v>523.91999999999996</v>
      </c>
      <c r="Y71" s="3"/>
      <c r="Z71" s="8">
        <f t="shared" si="15"/>
        <v>1.6632380952380952</v>
      </c>
    </row>
    <row r="72" spans="1:26" s="69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SUM(OSRRefD22_13x_0)</f>
        <v>-283.20999999999998</v>
      </c>
      <c r="E72" s="2"/>
      <c r="F72" s="6">
        <f t="shared" si="8"/>
        <v>-7.9113026790490568E-3</v>
      </c>
      <c r="G72" s="2"/>
      <c r="H72" s="2">
        <f>SUM(OSRRefH22_13x_0)</f>
        <v>750</v>
      </c>
      <c r="I72" s="2"/>
      <c r="J72" s="6">
        <f t="shared" si="9"/>
        <v>1.2682844339223809E-2</v>
      </c>
      <c r="K72" s="2"/>
      <c r="L72" s="2">
        <f t="shared" si="10"/>
        <v>-1033.21</v>
      </c>
      <c r="M72" s="2"/>
      <c r="N72" s="6">
        <f t="shared" si="11"/>
        <v>-1.3776133333333334</v>
      </c>
      <c r="O72" s="14"/>
      <c r="P72" s="2">
        <f>SUM(OSRRefP22_13x_0)</f>
        <v>4001.86</v>
      </c>
      <c r="Q72" s="2"/>
      <c r="R72" s="6">
        <f t="shared" si="12"/>
        <v>1.759392813266409E-2</v>
      </c>
      <c r="S72" s="2"/>
      <c r="T72" s="2">
        <f>SUM(OSRRefT22_13x_0)</f>
        <v>10050</v>
      </c>
      <c r="U72" s="2"/>
      <c r="V72" s="6">
        <f t="shared" si="13"/>
        <v>3.1258553335489811E-2</v>
      </c>
      <c r="W72" s="2"/>
      <c r="X72" s="2">
        <f t="shared" si="14"/>
        <v>-6048.1399999999994</v>
      </c>
      <c r="Y72" s="2"/>
      <c r="Z72" s="6">
        <f t="shared" si="15"/>
        <v>-0.60180497512437803</v>
      </c>
    </row>
    <row r="73" spans="1:26" s="70" customFormat="1" ht="15" hidden="1" customHeight="1" outlineLevel="2" x14ac:dyDescent="0.3">
      <c r="A73" s="26"/>
      <c r="B73" s="12" t="str">
        <f>CONCATENATE("          ","6234"," - ","EXPENDABLE SUPPLIES &amp; EQUIPMEN")</f>
        <v xml:space="preserve">          6234 - EXPENDABLE SUPPLIES &amp; EQUIPMEN</v>
      </c>
      <c r="C73" s="12"/>
      <c r="D73" s="7"/>
      <c r="E73" s="3"/>
      <c r="F73" s="8">
        <f t="shared" si="8"/>
        <v>0</v>
      </c>
      <c r="G73" s="3"/>
      <c r="H73" s="7">
        <v>50</v>
      </c>
      <c r="I73" s="3"/>
      <c r="J73" s="8">
        <f t="shared" si="9"/>
        <v>8.4552295594825396E-4</v>
      </c>
      <c r="K73" s="3"/>
      <c r="L73" s="7">
        <f t="shared" si="10"/>
        <v>-50</v>
      </c>
      <c r="M73" s="3"/>
      <c r="N73" s="8">
        <f t="shared" si="11"/>
        <v>-1</v>
      </c>
      <c r="O73" s="12"/>
      <c r="P73" s="7"/>
      <c r="Q73" s="3"/>
      <c r="R73" s="8">
        <f t="shared" si="12"/>
        <v>0</v>
      </c>
      <c r="S73" s="3"/>
      <c r="T73" s="7">
        <v>750</v>
      </c>
      <c r="U73" s="3"/>
      <c r="V73" s="8">
        <f t="shared" si="13"/>
        <v>2.3327278608574484E-3</v>
      </c>
      <c r="W73" s="3"/>
      <c r="X73" s="7">
        <f t="shared" si="14"/>
        <v>-750</v>
      </c>
      <c r="Y73" s="3"/>
      <c r="Z73" s="8">
        <f t="shared" si="15"/>
        <v>-1</v>
      </c>
    </row>
    <row r="74" spans="1:26" s="70" customFormat="1" ht="15" hidden="1" customHeight="1" outlineLevel="2" x14ac:dyDescent="0.3">
      <c r="A74" s="26"/>
      <c r="B74" s="12" t="str">
        <f>CONCATENATE("          ","6235"," - ","COVID-19 EXPENSES")</f>
        <v xml:space="preserve">          6235 - COVID-19 EXPENSES</v>
      </c>
      <c r="C74" s="12"/>
      <c r="D74" s="7"/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0</v>
      </c>
      <c r="M74" s="3"/>
      <c r="N74" s="8">
        <f t="shared" si="11"/>
        <v>0</v>
      </c>
      <c r="O74" s="12"/>
      <c r="P74" s="7">
        <v>71.45</v>
      </c>
      <c r="Q74" s="3"/>
      <c r="R74" s="8">
        <f t="shared" si="12"/>
        <v>3.141254729248023E-4</v>
      </c>
      <c r="S74" s="3"/>
      <c r="T74" s="7"/>
      <c r="U74" s="3"/>
      <c r="V74" s="8">
        <f t="shared" si="13"/>
        <v>0</v>
      </c>
      <c r="W74" s="3"/>
      <c r="X74" s="7">
        <f t="shared" si="14"/>
        <v>71.45</v>
      </c>
      <c r="Y74" s="3"/>
      <c r="Z74" s="8">
        <f t="shared" si="15"/>
        <v>0</v>
      </c>
    </row>
    <row r="75" spans="1:26" s="70" customFormat="1" ht="15" hidden="1" customHeight="1" outlineLevel="2" x14ac:dyDescent="0.3">
      <c r="A75" s="26"/>
      <c r="B75" s="12" t="str">
        <f>CONCATENATE("          ","6237"," - ","JANITORIAL SUPPLIES")</f>
        <v xml:space="preserve">          6237 - JANITORIAL SUPPLIES</v>
      </c>
      <c r="C75" s="12"/>
      <c r="D75" s="7">
        <v>50.12</v>
      </c>
      <c r="E75" s="3"/>
      <c r="F75" s="8">
        <f t="shared" si="8"/>
        <v>1.4000723501074775E-3</v>
      </c>
      <c r="G75" s="3"/>
      <c r="H75" s="7">
        <v>50</v>
      </c>
      <c r="I75" s="3"/>
      <c r="J75" s="8">
        <f t="shared" si="9"/>
        <v>8.4552295594825396E-4</v>
      </c>
      <c r="K75" s="3"/>
      <c r="L75" s="7">
        <f t="shared" si="10"/>
        <v>0.11999999999999744</v>
      </c>
      <c r="M75" s="3"/>
      <c r="N75" s="8">
        <f t="shared" si="11"/>
        <v>2.399999999999949E-3</v>
      </c>
      <c r="O75" s="12"/>
      <c r="P75" s="7">
        <v>990.47</v>
      </c>
      <c r="Q75" s="3"/>
      <c r="R75" s="8">
        <f t="shared" si="12"/>
        <v>4.3545396384580669E-3</v>
      </c>
      <c r="S75" s="3"/>
      <c r="T75" s="7">
        <v>250</v>
      </c>
      <c r="U75" s="3"/>
      <c r="V75" s="8">
        <f t="shared" si="13"/>
        <v>7.7757595361914954E-4</v>
      </c>
      <c r="W75" s="3"/>
      <c r="X75" s="7">
        <f t="shared" si="14"/>
        <v>740.47</v>
      </c>
      <c r="Y75" s="3"/>
      <c r="Z75" s="8">
        <f t="shared" si="15"/>
        <v>2.9618800000000003</v>
      </c>
    </row>
    <row r="76" spans="1:26" s="70" customFormat="1" ht="15" hidden="1" customHeight="1" outlineLevel="2" x14ac:dyDescent="0.3">
      <c r="A76" s="26"/>
      <c r="B76" s="12" t="str">
        <f>CONCATENATE("          ","6241"," - ","OFFICE EXPENSE")</f>
        <v xml:space="preserve">          6241 - OFFICE EXPENSE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>
        <v>427.98</v>
      </c>
      <c r="Q76" s="3"/>
      <c r="R76" s="8">
        <f t="shared" si="12"/>
        <v>1.8815874024122727E-3</v>
      </c>
      <c r="S76" s="3"/>
      <c r="T76" s="7"/>
      <c r="U76" s="3"/>
      <c r="V76" s="8">
        <f t="shared" si="13"/>
        <v>0</v>
      </c>
      <c r="W76" s="3"/>
      <c r="X76" s="7">
        <f t="shared" si="14"/>
        <v>427.98</v>
      </c>
      <c r="Y76" s="3"/>
      <c r="Z76" s="8">
        <f t="shared" si="15"/>
        <v>0</v>
      </c>
    </row>
    <row r="77" spans="1:26" s="70" customFormat="1" ht="15" hidden="1" customHeight="1" outlineLevel="2" x14ac:dyDescent="0.3">
      <c r="A77" s="26"/>
      <c r="B77" s="12" t="str">
        <f>CONCATENATE("          ","6243"," - ","PAPER SUPPLIES")</f>
        <v xml:space="preserve">          6243 - PAPER SUPPLIES</v>
      </c>
      <c r="C77" s="12"/>
      <c r="D77" s="7"/>
      <c r="E77" s="3"/>
      <c r="F77" s="8">
        <f t="shared" si="8"/>
        <v>0</v>
      </c>
      <c r="G77" s="3"/>
      <c r="H77" s="7">
        <v>200</v>
      </c>
      <c r="I77" s="3"/>
      <c r="J77" s="8">
        <f t="shared" si="9"/>
        <v>3.3820918237930158E-3</v>
      </c>
      <c r="K77" s="3"/>
      <c r="L77" s="7">
        <f t="shared" si="10"/>
        <v>-200</v>
      </c>
      <c r="M77" s="3"/>
      <c r="N77" s="8">
        <f t="shared" si="11"/>
        <v>-1</v>
      </c>
      <c r="O77" s="12"/>
      <c r="P77" s="7">
        <v>44.38</v>
      </c>
      <c r="Q77" s="3"/>
      <c r="R77" s="8">
        <f t="shared" si="12"/>
        <v>1.9511390466623828E-4</v>
      </c>
      <c r="S77" s="3"/>
      <c r="T77" s="7">
        <v>1800</v>
      </c>
      <c r="U77" s="3"/>
      <c r="V77" s="8">
        <f t="shared" si="13"/>
        <v>5.5985468660578767E-3</v>
      </c>
      <c r="W77" s="3"/>
      <c r="X77" s="7">
        <f t="shared" si="14"/>
        <v>-1755.62</v>
      </c>
      <c r="Y77" s="3"/>
      <c r="Z77" s="8">
        <f t="shared" si="15"/>
        <v>-0.97534444444444435</v>
      </c>
    </row>
    <row r="78" spans="1:26" s="70" customFormat="1" ht="15" hidden="1" customHeight="1" outlineLevel="2" x14ac:dyDescent="0.3">
      <c r="A78" s="26"/>
      <c r="B78" s="12" t="str">
        <f>CONCATENATE("          ","6247"," - ","STORE SUPPLIES")</f>
        <v xml:space="preserve">          6247 - STORE SUPPLIES</v>
      </c>
      <c r="C78" s="12"/>
      <c r="D78" s="7">
        <v>-333.33</v>
      </c>
      <c r="E78" s="3"/>
      <c r="F78" s="8">
        <f t="shared" si="8"/>
        <v>-9.3113750291565333E-3</v>
      </c>
      <c r="G78" s="3"/>
      <c r="H78" s="7">
        <v>450</v>
      </c>
      <c r="I78" s="3"/>
      <c r="J78" s="8">
        <f t="shared" si="9"/>
        <v>7.6097066035342859E-3</v>
      </c>
      <c r="K78" s="3"/>
      <c r="L78" s="7">
        <f t="shared" si="10"/>
        <v>-783.32999999999993</v>
      </c>
      <c r="M78" s="3"/>
      <c r="N78" s="8">
        <f t="shared" si="11"/>
        <v>-1.7407333333333332</v>
      </c>
      <c r="O78" s="12"/>
      <c r="P78" s="7">
        <v>2467.58</v>
      </c>
      <c r="Q78" s="3"/>
      <c r="R78" s="8">
        <f t="shared" si="12"/>
        <v>1.0848561714202709E-2</v>
      </c>
      <c r="S78" s="3"/>
      <c r="T78" s="7">
        <v>7250</v>
      </c>
      <c r="U78" s="3"/>
      <c r="V78" s="8">
        <f t="shared" si="13"/>
        <v>2.2549702654955334E-2</v>
      </c>
      <c r="W78" s="3"/>
      <c r="X78" s="7">
        <f t="shared" si="14"/>
        <v>-4782.42</v>
      </c>
      <c r="Y78" s="3"/>
      <c r="Z78" s="8">
        <f t="shared" si="15"/>
        <v>-0.65964413793103449</v>
      </c>
    </row>
    <row r="79" spans="1:26" s="69" customFormat="1" ht="15" customHeight="1" outlineLevel="1" collapsed="1" x14ac:dyDescent="0.3">
      <c r="A79" s="25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SUM(OSRRefD22_14x_0)</f>
        <v>172</v>
      </c>
      <c r="E79" s="2"/>
      <c r="F79" s="6">
        <f t="shared" si="8"/>
        <v>4.8047175622203935E-3</v>
      </c>
      <c r="G79" s="2"/>
      <c r="H79" s="2">
        <f>SUM(OSRRefH22_14x_0)</f>
        <v>125</v>
      </c>
      <c r="I79" s="2"/>
      <c r="J79" s="6">
        <f t="shared" si="9"/>
        <v>2.113807389870635E-3</v>
      </c>
      <c r="K79" s="2"/>
      <c r="L79" s="2">
        <f t="shared" si="10"/>
        <v>47</v>
      </c>
      <c r="M79" s="2"/>
      <c r="N79" s="6">
        <f t="shared" si="11"/>
        <v>0.376</v>
      </c>
      <c r="O79" s="14"/>
      <c r="P79" s="2">
        <f>SUM(OSRRefP22_14x_0)</f>
        <v>680</v>
      </c>
      <c r="Q79" s="2"/>
      <c r="R79" s="6">
        <f t="shared" si="12"/>
        <v>2.9895776289554309E-3</v>
      </c>
      <c r="S79" s="2"/>
      <c r="T79" s="2">
        <f>SUM(OSRRefT22_14x_0)</f>
        <v>1250</v>
      </c>
      <c r="U79" s="2"/>
      <c r="V79" s="6">
        <f t="shared" si="13"/>
        <v>3.8878797680957475E-3</v>
      </c>
      <c r="W79" s="2"/>
      <c r="X79" s="2">
        <f t="shared" si="14"/>
        <v>-570</v>
      </c>
      <c r="Y79" s="2"/>
      <c r="Z79" s="6">
        <f t="shared" si="15"/>
        <v>-0.45600000000000002</v>
      </c>
    </row>
    <row r="80" spans="1:26" s="70" customFormat="1" ht="15" hidden="1" customHeight="1" outlineLevel="2" x14ac:dyDescent="0.3">
      <c r="A80" s="26"/>
      <c r="B80" s="12" t="str">
        <f>CONCATENATE("          ","6303"," - ","DATA PHONE LINES")</f>
        <v xml:space="preserve">          6303 - DATA PHONE LINES</v>
      </c>
      <c r="C80" s="12"/>
      <c r="D80" s="7"/>
      <c r="E80" s="3"/>
      <c r="F80" s="8">
        <f t="shared" si="8"/>
        <v>0</v>
      </c>
      <c r="G80" s="3"/>
      <c r="H80" s="7">
        <v>50</v>
      </c>
      <c r="I80" s="3"/>
      <c r="J80" s="8">
        <f t="shared" si="9"/>
        <v>8.4552295594825396E-4</v>
      </c>
      <c r="K80" s="3"/>
      <c r="L80" s="7">
        <f t="shared" si="10"/>
        <v>-50</v>
      </c>
      <c r="M80" s="3"/>
      <c r="N80" s="8">
        <f t="shared" si="11"/>
        <v>-1</v>
      </c>
      <c r="O80" s="12"/>
      <c r="P80" s="7"/>
      <c r="Q80" s="3"/>
      <c r="R80" s="8">
        <f t="shared" si="12"/>
        <v>0</v>
      </c>
      <c r="S80" s="3"/>
      <c r="T80" s="7">
        <v>500</v>
      </c>
      <c r="U80" s="3"/>
      <c r="V80" s="8">
        <f t="shared" si="13"/>
        <v>1.5551519072382991E-3</v>
      </c>
      <c r="W80" s="3"/>
      <c r="X80" s="7">
        <f t="shared" si="14"/>
        <v>-500</v>
      </c>
      <c r="Y80" s="3"/>
      <c r="Z80" s="8">
        <f t="shared" si="15"/>
        <v>-1</v>
      </c>
    </row>
    <row r="81" spans="1:26" s="70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7">
        <v>172</v>
      </c>
      <c r="E81" s="3"/>
      <c r="F81" s="8">
        <f t="shared" si="8"/>
        <v>4.8047175622203935E-3</v>
      </c>
      <c r="G81" s="3"/>
      <c r="H81" s="7">
        <v>75</v>
      </c>
      <c r="I81" s="3"/>
      <c r="J81" s="8">
        <f t="shared" si="9"/>
        <v>1.268284433922381E-3</v>
      </c>
      <c r="K81" s="3"/>
      <c r="L81" s="7">
        <f t="shared" si="10"/>
        <v>97</v>
      </c>
      <c r="M81" s="3"/>
      <c r="N81" s="8">
        <f t="shared" si="11"/>
        <v>1.2933333333333332</v>
      </c>
      <c r="O81" s="12"/>
      <c r="P81" s="7">
        <v>680</v>
      </c>
      <c r="Q81" s="3"/>
      <c r="R81" s="8">
        <f t="shared" si="12"/>
        <v>2.9895776289554309E-3</v>
      </c>
      <c r="S81" s="3"/>
      <c r="T81" s="7">
        <v>750</v>
      </c>
      <c r="U81" s="3"/>
      <c r="V81" s="8">
        <f t="shared" si="13"/>
        <v>2.3327278608574484E-3</v>
      </c>
      <c r="W81" s="3"/>
      <c r="X81" s="7">
        <f t="shared" si="14"/>
        <v>-70</v>
      </c>
      <c r="Y81" s="3"/>
      <c r="Z81" s="8">
        <f t="shared" si="15"/>
        <v>-9.3333333333333338E-2</v>
      </c>
    </row>
    <row r="82" spans="1:26" s="69" customFormat="1" ht="15" customHeight="1" outlineLevel="1" collapsed="1" x14ac:dyDescent="0.3">
      <c r="A82" s="25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SUM(OSRRefD22_15x_0)</f>
        <v>0</v>
      </c>
      <c r="E82" s="2"/>
      <c r="F82" s="6">
        <f t="shared" si="8"/>
        <v>0</v>
      </c>
      <c r="G82" s="2"/>
      <c r="H82" s="2">
        <f>SUM(OSRRefH22_15x_0)</f>
        <v>0</v>
      </c>
      <c r="I82" s="2"/>
      <c r="J82" s="6">
        <f t="shared" si="9"/>
        <v>0</v>
      </c>
      <c r="K82" s="2"/>
      <c r="L82" s="2">
        <f t="shared" si="10"/>
        <v>0</v>
      </c>
      <c r="M82" s="2"/>
      <c r="N82" s="6">
        <f t="shared" si="11"/>
        <v>0</v>
      </c>
      <c r="O82" s="14"/>
      <c r="P82" s="2">
        <f>SUM(OSRRefP22_15x_0)</f>
        <v>120</v>
      </c>
      <c r="Q82" s="2"/>
      <c r="R82" s="6">
        <f t="shared" si="12"/>
        <v>5.2757252275684077E-4</v>
      </c>
      <c r="S82" s="2"/>
      <c r="T82" s="2">
        <f>SUM(OSRRefT22_15x_0)</f>
        <v>0</v>
      </c>
      <c r="U82" s="2"/>
      <c r="V82" s="6">
        <f t="shared" si="13"/>
        <v>0</v>
      </c>
      <c r="W82" s="2"/>
      <c r="X82" s="2">
        <f t="shared" si="14"/>
        <v>120</v>
      </c>
      <c r="Y82" s="2"/>
      <c r="Z82" s="6">
        <f t="shared" si="15"/>
        <v>0</v>
      </c>
    </row>
    <row r="83" spans="1:26" s="70" customFormat="1" ht="15" hidden="1" customHeight="1" outlineLevel="2" x14ac:dyDescent="0.3">
      <c r="A83" s="26"/>
      <c r="B83" s="12" t="str">
        <f>CONCATENATE("          ","6376"," - ","TRAINING")</f>
        <v xml:space="preserve">          6376 - TRAINING</v>
      </c>
      <c r="C83" s="12"/>
      <c r="D83" s="7"/>
      <c r="E83" s="3"/>
      <c r="F83" s="8">
        <f t="shared" si="8"/>
        <v>0</v>
      </c>
      <c r="G83" s="3"/>
      <c r="H83" s="7"/>
      <c r="I83" s="3"/>
      <c r="J83" s="8">
        <f t="shared" si="9"/>
        <v>0</v>
      </c>
      <c r="K83" s="3"/>
      <c r="L83" s="7">
        <f t="shared" si="10"/>
        <v>0</v>
      </c>
      <c r="M83" s="3"/>
      <c r="N83" s="8">
        <f t="shared" si="11"/>
        <v>0</v>
      </c>
      <c r="O83" s="12"/>
      <c r="P83" s="7">
        <v>120</v>
      </c>
      <c r="Q83" s="3"/>
      <c r="R83" s="8">
        <f t="shared" si="12"/>
        <v>5.2757252275684077E-4</v>
      </c>
      <c r="S83" s="3"/>
      <c r="T83" s="7"/>
      <c r="U83" s="3"/>
      <c r="V83" s="8">
        <f t="shared" si="13"/>
        <v>0</v>
      </c>
      <c r="W83" s="3"/>
      <c r="X83" s="7">
        <f t="shared" si="14"/>
        <v>120</v>
      </c>
      <c r="Y83" s="3"/>
      <c r="Z83" s="8">
        <f t="shared" si="15"/>
        <v>0</v>
      </c>
    </row>
    <row r="84" spans="1:26" s="69" customFormat="1" ht="15" customHeight="1" outlineLevel="1" collapsed="1" x14ac:dyDescent="0.3">
      <c r="A84" s="25"/>
      <c r="B84" s="14" t="str">
        <f>CONCATENATE("     ","Utilities                                         ")</f>
        <v xml:space="preserve">     Utilities                                         </v>
      </c>
      <c r="C84" s="14"/>
      <c r="D84" s="2">
        <f>SUM(OSRRefD22_16x_0)</f>
        <v>100</v>
      </c>
      <c r="E84" s="2"/>
      <c r="F84" s="6">
        <f t="shared" si="8"/>
        <v>2.7934404431513918E-3</v>
      </c>
      <c r="G84" s="2"/>
      <c r="H84" s="2">
        <f>SUM(OSRRefH22_16x_0)</f>
        <v>0</v>
      </c>
      <c r="I84" s="2"/>
      <c r="J84" s="6">
        <f t="shared" si="9"/>
        <v>0</v>
      </c>
      <c r="K84" s="2"/>
      <c r="L84" s="2">
        <f t="shared" si="10"/>
        <v>100</v>
      </c>
      <c r="M84" s="2"/>
      <c r="N84" s="6">
        <f t="shared" si="11"/>
        <v>0</v>
      </c>
      <c r="O84" s="14"/>
      <c r="P84" s="2">
        <f>SUM(OSRRefP22_16x_0)</f>
        <v>1000</v>
      </c>
      <c r="Q84" s="2"/>
      <c r="R84" s="6">
        <f t="shared" si="12"/>
        <v>4.3964376896403401E-3</v>
      </c>
      <c r="S84" s="2"/>
      <c r="T84" s="2">
        <f>SUM(OSRRefT22_16x_0)</f>
        <v>0</v>
      </c>
      <c r="U84" s="2"/>
      <c r="V84" s="6">
        <f t="shared" si="13"/>
        <v>0</v>
      </c>
      <c r="W84" s="2"/>
      <c r="X84" s="2">
        <f t="shared" si="14"/>
        <v>1000</v>
      </c>
      <c r="Y84" s="2"/>
      <c r="Z84" s="6">
        <f t="shared" si="15"/>
        <v>0</v>
      </c>
    </row>
    <row r="85" spans="1:26" s="70" customFormat="1" ht="15" hidden="1" customHeight="1" outlineLevel="2" x14ac:dyDescent="0.3">
      <c r="A85" s="26"/>
      <c r="B85" s="12" t="str">
        <f>CONCATENATE("          ","6274"," - ","UTILITIES")</f>
        <v xml:space="preserve">          6274 - UTILITIES</v>
      </c>
      <c r="C85" s="12"/>
      <c r="D85" s="7">
        <v>100</v>
      </c>
      <c r="E85" s="3"/>
      <c r="F85" s="8">
        <f t="shared" si="8"/>
        <v>2.7934404431513918E-3</v>
      </c>
      <c r="G85" s="3"/>
      <c r="H85" s="7">
        <v>0</v>
      </c>
      <c r="I85" s="3"/>
      <c r="J85" s="8">
        <f t="shared" si="9"/>
        <v>0</v>
      </c>
      <c r="K85" s="3"/>
      <c r="L85" s="7">
        <f t="shared" si="10"/>
        <v>100</v>
      </c>
      <c r="M85" s="3"/>
      <c r="N85" s="8">
        <f t="shared" si="11"/>
        <v>0</v>
      </c>
      <c r="O85" s="12"/>
      <c r="P85" s="7">
        <v>1000</v>
      </c>
      <c r="Q85" s="3"/>
      <c r="R85" s="8">
        <f t="shared" si="12"/>
        <v>4.3964376896403401E-3</v>
      </c>
      <c r="S85" s="3"/>
      <c r="T85" s="7">
        <v>0</v>
      </c>
      <c r="U85" s="3"/>
      <c r="V85" s="8">
        <f t="shared" si="13"/>
        <v>0</v>
      </c>
      <c r="W85" s="3"/>
      <c r="X85" s="7">
        <f t="shared" si="14"/>
        <v>1000</v>
      </c>
      <c r="Y85" s="3"/>
      <c r="Z85" s="8">
        <f t="shared" si="15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x14ac:dyDescent="0.3">
      <c r="A87" s="11"/>
      <c r="B87" s="28" t="s">
        <v>291</v>
      </c>
      <c r="C87" s="11"/>
      <c r="D87" s="5">
        <f>SUM(0)</f>
        <v>0</v>
      </c>
      <c r="E87" s="5"/>
      <c r="F87" s="13">
        <f>IF(D$12=0,0,D87/D$12)</f>
        <v>0</v>
      </c>
      <c r="G87" s="5"/>
      <c r="H87" s="5">
        <f>SUM(0)</f>
        <v>0</v>
      </c>
      <c r="I87" s="5"/>
      <c r="J87" s="13">
        <f>IF(H$12=0,0,H87/H$12)</f>
        <v>0</v>
      </c>
      <c r="K87" s="5"/>
      <c r="L87" s="5">
        <f>+D87-H87</f>
        <v>0</v>
      </c>
      <c r="M87" s="5"/>
      <c r="N87" s="13">
        <f>IF(H87=0,0,L87/H87)</f>
        <v>0</v>
      </c>
      <c r="O87" s="11"/>
      <c r="P87" s="5">
        <f>SUM(0)</f>
        <v>0</v>
      </c>
      <c r="Q87" s="5"/>
      <c r="R87" s="13">
        <f>IF(P$12=0,0,P87/P$12)</f>
        <v>0</v>
      </c>
      <c r="S87" s="5"/>
      <c r="T87" s="5">
        <f>SUM(0)</f>
        <v>0</v>
      </c>
      <c r="U87" s="5"/>
      <c r="V87" s="13">
        <f>IF(T$12=0,0,T87/T$12)</f>
        <v>0</v>
      </c>
      <c r="W87" s="5"/>
      <c r="X87" s="5">
        <f>+P87-T87</f>
        <v>0</v>
      </c>
      <c r="Y87" s="5"/>
      <c r="Z87" s="13">
        <f>IF(T87=0,0,X87/T87)</f>
        <v>0</v>
      </c>
    </row>
    <row r="88" spans="1:26" ht="15" customHeight="1" x14ac:dyDescent="0.3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3" customFormat="1" ht="15" customHeight="1" x14ac:dyDescent="0.3">
      <c r="A89" s="11"/>
      <c r="B89" s="27" t="s">
        <v>292</v>
      </c>
      <c r="C89" s="27"/>
      <c r="D89" s="21">
        <f>+D21-D23+D87</f>
        <v>-16791.579999999998</v>
      </c>
      <c r="E89" s="15"/>
      <c r="F89" s="23">
        <f>IF(D$12=0,0,D89/D$12)</f>
        <v>-0.46906278676412044</v>
      </c>
      <c r="G89" s="15"/>
      <c r="H89" s="21">
        <f>+H21-H23+H87</f>
        <v>-4007.9429683846174</v>
      </c>
      <c r="I89" s="15"/>
      <c r="J89" s="23">
        <f>IF(H$12=0,0,H89/H$12)</f>
        <v>-6.7776155718011627E-2</v>
      </c>
      <c r="K89" s="17"/>
      <c r="L89" s="21">
        <f>+D89-H89</f>
        <v>-12783.637031615381</v>
      </c>
      <c r="M89" s="17"/>
      <c r="N89" s="23">
        <f>IF(H89=0,0,L89/H89)</f>
        <v>3.1895755833990238</v>
      </c>
      <c r="O89" s="28"/>
      <c r="P89" s="21">
        <f>+P21-P23+P87</f>
        <v>-90501.440000000031</v>
      </c>
      <c r="Q89" s="15"/>
      <c r="R89" s="23">
        <f>IF(P$12=0,0,P89/P$12)</f>
        <v>-0.39788394178272396</v>
      </c>
      <c r="S89" s="15"/>
      <c r="T89" s="21">
        <f>+T21-T23+T87</f>
        <v>-125634.14240488457</v>
      </c>
      <c r="U89" s="15"/>
      <c r="V89" s="23">
        <f>IF(T$12=0,0,T89/T$12)</f>
        <v>-0.39076035235040857</v>
      </c>
      <c r="W89" s="17"/>
      <c r="X89" s="21">
        <f>+P89-T89</f>
        <v>35132.702404884534</v>
      </c>
      <c r="Y89" s="17"/>
      <c r="Z89" s="23">
        <f>IF(T89=0,0,X89/T89)</f>
        <v>-0.2796429516083408</v>
      </c>
    </row>
    <row r="90" spans="1:26" ht="15" customHeight="1" x14ac:dyDescent="0.3">
      <c r="A90" s="10"/>
      <c r="B90" s="11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3">
      <c r="A91" s="49"/>
      <c r="B91" s="11" t="s">
        <v>293</v>
      </c>
      <c r="C91" s="11"/>
      <c r="D91" s="5">
        <v>2893.2</v>
      </c>
      <c r="E91" s="5"/>
      <c r="F91" s="13">
        <f>IF(D$12=0,0,D91/D$12)</f>
        <v>8.0819818901256057E-2</v>
      </c>
      <c r="G91" s="5"/>
      <c r="H91" s="5">
        <v>7598</v>
      </c>
      <c r="I91" s="5"/>
      <c r="J91" s="13">
        <f>IF(H$12=0,0,H91/H$12)</f>
        <v>0.12848566838589667</v>
      </c>
      <c r="K91" s="5"/>
      <c r="L91" s="5">
        <f>+D91-H91</f>
        <v>-4704.8</v>
      </c>
      <c r="M91" s="5"/>
      <c r="N91" s="13">
        <f>IF(H91=0,0,L91/H91)</f>
        <v>-0.61921558304817059</v>
      </c>
      <c r="O91" s="11"/>
      <c r="P91" s="5">
        <v>25767.200000000001</v>
      </c>
      <c r="Q91" s="5"/>
      <c r="R91" s="13">
        <f>IF(P$12=0,0,P91/P$12)</f>
        <v>0.11328388923650057</v>
      </c>
      <c r="S91" s="5"/>
      <c r="T91" s="5">
        <v>39551</v>
      </c>
      <c r="U91" s="5"/>
      <c r="V91" s="13">
        <f>IF(T$12=0,0,T91/T$12)</f>
        <v>0.12301562616636393</v>
      </c>
      <c r="W91" s="5"/>
      <c r="X91" s="5">
        <f>+P91-T91</f>
        <v>-13783.8</v>
      </c>
      <c r="Y91" s="5"/>
      <c r="Z91" s="13">
        <f>IF(T91=0,0,X91/T91)</f>
        <v>-0.34850699097367954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294</v>
      </c>
      <c r="C93" s="27"/>
      <c r="D93" s="29">
        <f>+D89-D91</f>
        <v>-19684.78</v>
      </c>
      <c r="E93" s="15"/>
      <c r="F93" s="30">
        <f>IF(D$12=0,0,D93/D$12)</f>
        <v>-0.5498826056653765</v>
      </c>
      <c r="G93" s="15"/>
      <c r="H93" s="29">
        <f>+H89-H91</f>
        <v>-11605.942968384617</v>
      </c>
      <c r="I93" s="15"/>
      <c r="J93" s="30">
        <f>IF(H$12=0,0,H93/H$12)</f>
        <v>-0.1962618241039083</v>
      </c>
      <c r="K93" s="17"/>
      <c r="L93" s="29">
        <f>D93-H93</f>
        <v>-8078.8370316153814</v>
      </c>
      <c r="M93" s="17"/>
      <c r="N93" s="30">
        <f>IF(H93=0,0,L93/H93)</f>
        <v>0.69609484154994439</v>
      </c>
      <c r="O93" s="28"/>
      <c r="P93" s="29">
        <f>+P89-P91</f>
        <v>-116268.64000000003</v>
      </c>
      <c r="Q93" s="15"/>
      <c r="R93" s="30">
        <f>IF(P$12=0,0,P93/P$12)</f>
        <v>-0.51116783101922447</v>
      </c>
      <c r="S93" s="15"/>
      <c r="T93" s="29">
        <f>+T89-T91</f>
        <v>-165185.14240488457</v>
      </c>
      <c r="U93" s="15"/>
      <c r="V93" s="30">
        <f>IF(T$12=0,0,T93/T$12)</f>
        <v>-0.51377597851677248</v>
      </c>
      <c r="W93" s="17"/>
      <c r="X93" s="29">
        <f>P93-T93</f>
        <v>48916.502404884537</v>
      </c>
      <c r="Y93" s="17"/>
      <c r="Z93" s="30">
        <f>IF(T93=0,0,X93/T93)</f>
        <v>-0.29613136927887568</v>
      </c>
    </row>
    <row r="94" spans="1:26" ht="15" customHeight="1" x14ac:dyDescent="0.3">
      <c r="A94" s="10"/>
      <c r="B94" s="10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11"/>
      <c r="B96" s="27" t="s">
        <v>297</v>
      </c>
      <c r="C96" s="27"/>
      <c r="D96" s="32">
        <f>SUM(D93:D95)</f>
        <v>-19684.78</v>
      </c>
      <c r="E96" s="15"/>
      <c r="F96" s="34">
        <f>IF(D$12=0,0,D96/D$12)</f>
        <v>-0.5498826056653765</v>
      </c>
      <c r="G96" s="15"/>
      <c r="H96" s="32">
        <f>SUM(H93:H95)</f>
        <v>-11605.942968384617</v>
      </c>
      <c r="I96" s="15"/>
      <c r="J96" s="34">
        <f>IF(H$12=0,0,H96/H$12)</f>
        <v>-0.1962618241039083</v>
      </c>
      <c r="K96" s="17"/>
      <c r="L96" s="32">
        <f>+D96-H96</f>
        <v>-8078.8370316153814</v>
      </c>
      <c r="M96" s="17"/>
      <c r="N96" s="34">
        <f>IF(H96=0,0,L96/H96)</f>
        <v>0.69609484154994439</v>
      </c>
      <c r="O96" s="28"/>
      <c r="P96" s="32">
        <f>SUM(P93:P95)</f>
        <v>-116268.64000000003</v>
      </c>
      <c r="Q96" s="15"/>
      <c r="R96" s="34">
        <f>IF(P$12=0,0,P96/P$12)</f>
        <v>-0.51116783101922447</v>
      </c>
      <c r="S96" s="15"/>
      <c r="T96" s="32">
        <f>SUM(T93:T95)</f>
        <v>-165185.14240488457</v>
      </c>
      <c r="U96" s="15"/>
      <c r="V96" s="34">
        <f>IF(T$12=0,0,T96/T$12)</f>
        <v>-0.51377597851677248</v>
      </c>
      <c r="W96" s="17"/>
      <c r="X96" s="32">
        <f>+P96-T96</f>
        <v>48916.502404884537</v>
      </c>
      <c r="Y96" s="17"/>
      <c r="Z96" s="34">
        <f>IF(T96=0,0,X96/T96)</f>
        <v>-0.29613136927887568</v>
      </c>
    </row>
    <row r="97" spans="1:24" ht="15" customHeight="1" x14ac:dyDescent="0.3">
      <c r="A97" s="10"/>
      <c r="C97" s="10"/>
      <c r="D97" s="19"/>
      <c r="E97" s="19"/>
      <c r="G97" s="19"/>
      <c r="H97" s="19"/>
      <c r="I97" s="19"/>
      <c r="J97" s="40"/>
      <c r="K97" s="19"/>
      <c r="L97" s="19"/>
      <c r="M97" s="19"/>
      <c r="P97" s="19"/>
      <c r="Q97" s="19"/>
      <c r="R97" s="40"/>
      <c r="S97" s="19"/>
      <c r="T97" s="19"/>
      <c r="U97" s="19"/>
      <c r="V97" s="40"/>
      <c r="W97" s="19"/>
      <c r="X97" s="19"/>
    </row>
    <row r="98" spans="1:24" ht="15" customHeight="1" x14ac:dyDescent="0.3">
      <c r="A98" s="10"/>
      <c r="B98" s="56">
        <v>44694.888552430559</v>
      </c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4" ht="15" customHeight="1" x14ac:dyDescent="0.3">
      <c r="A99" s="10"/>
      <c r="B99" s="50" t="s">
        <v>298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4" ht="15" customHeight="1" x14ac:dyDescent="0.3">
      <c r="A100" s="10"/>
      <c r="B100" s="51"/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4" ht="15" customHeight="1" x14ac:dyDescent="0.3"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94F14-6DF7-9C52-858E-837FE0AE87BB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","327"," - ","C-Store Vending Machine(s)")</f>
        <v>Department 327 - C-Store Vending Machine(s)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439.9</v>
      </c>
      <c r="E12" s="5"/>
      <c r="F12" s="13"/>
      <c r="G12" s="5"/>
      <c r="H12" s="5">
        <f>SUM(OSRRefH13x_0)</f>
        <v>125</v>
      </c>
      <c r="I12" s="5"/>
      <c r="J12" s="13"/>
      <c r="K12" s="5"/>
      <c r="L12" s="5">
        <f>+D12-H12</f>
        <v>314.89999999999998</v>
      </c>
      <c r="M12" s="5"/>
      <c r="N12" s="13">
        <f>IF(H12=0,0,L12/H12)</f>
        <v>2.5191999999999997</v>
      </c>
      <c r="O12" s="11"/>
      <c r="P12" s="5">
        <f>SUM(OSRRefP13x_0)</f>
        <v>1551.31</v>
      </c>
      <c r="Q12" s="5"/>
      <c r="R12" s="13"/>
      <c r="S12" s="5"/>
      <c r="T12" s="5">
        <f>SUM(OSRRefT13x_0)</f>
        <v>675</v>
      </c>
      <c r="U12" s="5"/>
      <c r="V12" s="13"/>
      <c r="W12" s="5"/>
      <c r="X12" s="5">
        <f>+P12-T12</f>
        <v>876.31</v>
      </c>
      <c r="Y12" s="5"/>
      <c r="Z12" s="13">
        <f>IF(T12=0,0,X12/T12)</f>
        <v>1.2982370370370369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125</v>
      </c>
      <c r="I13" s="3"/>
      <c r="J13" s="20"/>
      <c r="K13" s="3"/>
      <c r="L13" s="3">
        <f>+D13-H13</f>
        <v>-125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675</v>
      </c>
      <c r="U13" s="3"/>
      <c r="V13" s="20"/>
      <c r="W13" s="3"/>
      <c r="X13" s="3">
        <f>+P13-T13</f>
        <v>-675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","4053"," - ","TAXABLE SALES-FOOD")</f>
        <v xml:space="preserve">          4053 - TAXABLE SALES-FOOD</v>
      </c>
      <c r="C14" s="12"/>
      <c r="D14" s="3">
        <f>--439.9</f>
        <v>439.9</v>
      </c>
      <c r="E14" s="3"/>
      <c r="F14" s="20"/>
      <c r="G14" s="3"/>
      <c r="H14" s="3"/>
      <c r="I14" s="3"/>
      <c r="J14" s="20"/>
      <c r="K14" s="3"/>
      <c r="L14" s="3">
        <f>+D14-H14</f>
        <v>439.9</v>
      </c>
      <c r="M14" s="3"/>
      <c r="N14" s="20">
        <f>IF(H14=0,0,L14/H14)</f>
        <v>0</v>
      </c>
      <c r="O14" s="12"/>
      <c r="P14" s="3">
        <f>--1551.31</f>
        <v>1551.31</v>
      </c>
      <c r="Q14" s="3"/>
      <c r="R14" s="20"/>
      <c r="S14" s="3"/>
      <c r="T14" s="3"/>
      <c r="U14" s="3"/>
      <c r="V14" s="20"/>
      <c r="W14" s="3"/>
      <c r="X14" s="3">
        <f>+P14-T14</f>
        <v>1551.31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collapsed="1" x14ac:dyDescent="0.3">
      <c r="A17" s="11"/>
      <c r="B17" s="28" t="s">
        <v>288</v>
      </c>
      <c r="C17" s="11"/>
      <c r="D17" s="5">
        <f>SUM(OSRRefD16x_0)</f>
        <v>93</v>
      </c>
      <c r="E17" s="5"/>
      <c r="F17" s="13">
        <f>IF(D$12=0,0,D17/D$12)</f>
        <v>0.21141168447374403</v>
      </c>
      <c r="G17" s="5"/>
      <c r="H17" s="5">
        <f>SUM(OSRRefH16x_0)</f>
        <v>63</v>
      </c>
      <c r="I17" s="5"/>
      <c r="J17" s="13">
        <f>IF(H$12=0,0,H17/H$12)</f>
        <v>0.504</v>
      </c>
      <c r="K17" s="5"/>
      <c r="L17" s="5">
        <f>+D17-H17</f>
        <v>30</v>
      </c>
      <c r="M17" s="5"/>
      <c r="N17" s="13">
        <f>IF(H17=0,0,L17/H17)</f>
        <v>0.47619047619047616</v>
      </c>
      <c r="O17" s="11"/>
      <c r="P17" s="5">
        <f>SUM(OSRRefP16x_0)</f>
        <v>32.200000000000003</v>
      </c>
      <c r="Q17" s="5"/>
      <c r="R17" s="13">
        <f>IF(P$12=0,0,P17/P$12)</f>
        <v>2.0756650830588343E-2</v>
      </c>
      <c r="S17" s="5"/>
      <c r="T17" s="5">
        <f>SUM(OSRRefT16x_0)</f>
        <v>339</v>
      </c>
      <c r="U17" s="5"/>
      <c r="V17" s="13">
        <f>IF(T$12=0,0,T17/T$12)</f>
        <v>0.50222222222222224</v>
      </c>
      <c r="W17" s="5"/>
      <c r="X17" s="5">
        <f>+P17-T17</f>
        <v>-306.8</v>
      </c>
      <c r="Y17" s="5"/>
      <c r="Z17" s="13">
        <f>IF(T17=0,0,X17/T17)</f>
        <v>-0.90501474926253689</v>
      </c>
    </row>
    <row r="18" spans="1:26" s="70" customFormat="1" ht="15" hidden="1" customHeight="1" outlineLevel="1" x14ac:dyDescent="0.3">
      <c r="A18" s="42"/>
      <c r="B18" s="12" t="str">
        <f>CONCATENATE("          ","5000"," - ","PURCHASES @ COST")</f>
        <v xml:space="preserve">          5000 - PURCHASES @ COST</v>
      </c>
      <c r="C18" s="12"/>
      <c r="D18" s="3"/>
      <c r="E18" s="3"/>
      <c r="F18" s="20">
        <f>IF(D$12=0,0,D18/D$12)</f>
        <v>0</v>
      </c>
      <c r="G18" s="3"/>
      <c r="H18" s="3">
        <v>63</v>
      </c>
      <c r="I18" s="3"/>
      <c r="J18" s="20">
        <f>IF(H$12=0,0,H18/H$12)</f>
        <v>0.504</v>
      </c>
      <c r="K18" s="3"/>
      <c r="L18" s="3">
        <f>+D18-H18</f>
        <v>-63</v>
      </c>
      <c r="M18" s="3"/>
      <c r="N18" s="20">
        <f>IF(H18=0,0,L18/H18)</f>
        <v>-1</v>
      </c>
      <c r="O18" s="12"/>
      <c r="P18" s="3"/>
      <c r="Q18" s="3"/>
      <c r="R18" s="20">
        <f>IF(P$12=0,0,P18/P$12)</f>
        <v>0</v>
      </c>
      <c r="S18" s="3"/>
      <c r="T18" s="3">
        <v>339</v>
      </c>
      <c r="U18" s="3"/>
      <c r="V18" s="20">
        <f>IF(T$12=0,0,T18/T$12)</f>
        <v>0.50222222222222224</v>
      </c>
      <c r="W18" s="3"/>
      <c r="X18" s="3">
        <f>+P18-T18</f>
        <v>-339</v>
      </c>
      <c r="Y18" s="3"/>
      <c r="Z18" s="20">
        <f>IF(T18=0,0,X18/T18)</f>
        <v>-1</v>
      </c>
    </row>
    <row r="19" spans="1:26" s="70" customFormat="1" ht="15" hidden="1" customHeight="1" outlineLevel="1" x14ac:dyDescent="0.3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45</v>
      </c>
      <c r="Q19" s="3"/>
      <c r="R19" s="20">
        <f>IF(P$12=0,0,P19/P$12)</f>
        <v>2.900774184398992E-2</v>
      </c>
      <c r="S19" s="3"/>
      <c r="T19" s="3"/>
      <c r="U19" s="3"/>
      <c r="V19" s="20">
        <f>IF(T$12=0,0,T19/T$12)</f>
        <v>0</v>
      </c>
      <c r="W19" s="3"/>
      <c r="X19" s="3">
        <f>+P19-T19</f>
        <v>45</v>
      </c>
      <c r="Y19" s="3"/>
      <c r="Z19" s="20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93</v>
      </c>
      <c r="E20" s="3"/>
      <c r="F20" s="20">
        <f>IF(D$12=0,0,D20/D$12)</f>
        <v>0.21141168447374403</v>
      </c>
      <c r="G20" s="3"/>
      <c r="H20" s="3"/>
      <c r="I20" s="3"/>
      <c r="J20" s="20">
        <f>IF(H$12=0,0,H20/H$12)</f>
        <v>0</v>
      </c>
      <c r="K20" s="3"/>
      <c r="L20" s="3">
        <f>+D20-H20</f>
        <v>93</v>
      </c>
      <c r="M20" s="3"/>
      <c r="N20" s="20">
        <f>IF(H20=0,0,L20/H20)</f>
        <v>0</v>
      </c>
      <c r="O20" s="12"/>
      <c r="P20" s="3">
        <v>-12.8</v>
      </c>
      <c r="Q20" s="3"/>
      <c r="R20" s="20">
        <f>IF(P$12=0,0,P20/P$12)</f>
        <v>-8.2510910134015771E-3</v>
      </c>
      <c r="S20" s="3"/>
      <c r="T20" s="3"/>
      <c r="U20" s="3"/>
      <c r="V20" s="20">
        <f>IF(T$12=0,0,T20/T$12)</f>
        <v>0</v>
      </c>
      <c r="W20" s="3"/>
      <c r="X20" s="3">
        <f>+P20-T20</f>
        <v>-12.8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289</v>
      </c>
      <c r="C22" s="27"/>
      <c r="D22" s="21">
        <f>D12-D17</f>
        <v>346.9</v>
      </c>
      <c r="E22" s="15"/>
      <c r="F22" s="23">
        <f>IF(D$12=0,0,D22/D$12)</f>
        <v>0.78858831552625597</v>
      </c>
      <c r="G22" s="15"/>
      <c r="H22" s="21">
        <f>H12-H17</f>
        <v>62</v>
      </c>
      <c r="I22" s="15"/>
      <c r="J22" s="23">
        <f>IF(H$12=0,0,H22/H$12)</f>
        <v>0.496</v>
      </c>
      <c r="K22" s="17"/>
      <c r="L22" s="21">
        <f>+D22-H22</f>
        <v>284.89999999999998</v>
      </c>
      <c r="M22" s="17"/>
      <c r="N22" s="23">
        <f>IF(H22=0,0,L22/H22)</f>
        <v>4.5951612903225802</v>
      </c>
      <c r="O22" s="28"/>
      <c r="P22" s="21">
        <f>P12-P17</f>
        <v>1519.11</v>
      </c>
      <c r="Q22" s="15"/>
      <c r="R22" s="23">
        <f>IF(P$12=0,0,P22/P$12)</f>
        <v>0.97924334916941158</v>
      </c>
      <c r="S22" s="15"/>
      <c r="T22" s="21">
        <f>T12-T17</f>
        <v>336</v>
      </c>
      <c r="U22" s="15"/>
      <c r="V22" s="23">
        <f>IF(T$12=0,0,T22/T$12)</f>
        <v>0.49777777777777776</v>
      </c>
      <c r="W22" s="17"/>
      <c r="X22" s="21">
        <f>+P22-T22</f>
        <v>1183.1099999999999</v>
      </c>
      <c r="Y22" s="17"/>
      <c r="Z22" s="23">
        <f>IF(T22=0,0,X22/T22)</f>
        <v>3.5211607142857142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8" t="s">
        <v>290</v>
      </c>
      <c r="C24" s="11"/>
      <c r="D24" s="22" cm="1">
        <f t="array" ref="D24">SUM(OSRRefD22x_0)</f>
        <v>89.85</v>
      </c>
      <c r="E24" s="22"/>
      <c r="F24" s="33">
        <f>IF(D$12=0,0,D24/D$12)</f>
        <v>0.20425096612866561</v>
      </c>
      <c r="G24" s="22"/>
      <c r="H24" s="22" cm="1">
        <f t="array" ref="H24">SUM(OSRRefH22x_0)</f>
        <v>11.25</v>
      </c>
      <c r="I24" s="22"/>
      <c r="J24" s="33">
        <f>IF(H$12=0,0,H24/H$12)</f>
        <v>0.09</v>
      </c>
      <c r="K24" s="5"/>
      <c r="L24" s="22">
        <f>+D24-H24</f>
        <v>78.599999999999994</v>
      </c>
      <c r="M24" s="5"/>
      <c r="N24" s="33">
        <f>IF(H24=0,0,L24/H24)</f>
        <v>6.9866666666666664</v>
      </c>
      <c r="O24" s="11"/>
      <c r="P24" s="22" cm="1">
        <f t="array" ref="P24">SUM(OSRRefP22x_0)</f>
        <v>1418.6599999999999</v>
      </c>
      <c r="Q24" s="22"/>
      <c r="R24" s="33">
        <f>IF(P$12=0,0,P24/P$12)</f>
        <v>0.91449162320877186</v>
      </c>
      <c r="S24" s="22"/>
      <c r="T24" s="22" cm="1">
        <f t="array" ref="T24">SUM(OSRRefT22x_0)</f>
        <v>60.75</v>
      </c>
      <c r="U24" s="22"/>
      <c r="V24" s="33">
        <f>IF(T$12=0,0,T24/T$12)</f>
        <v>0.09</v>
      </c>
      <c r="W24" s="5"/>
      <c r="X24" s="22">
        <f>+P24-T24</f>
        <v>1357.9099999999999</v>
      </c>
      <c r="Y24" s="5"/>
      <c r="Z24" s="33">
        <f>IF(T24=0,0,X24/T24)</f>
        <v>22.352427983539091</v>
      </c>
    </row>
    <row r="25" spans="1:26" s="69" customFormat="1" ht="15" customHeight="1" outlineLevel="1" collapsed="1" x14ac:dyDescent="0.3">
      <c r="A25" s="25"/>
      <c r="B25" s="14" t="str">
        <f>CONCATENATE("     ","Bank/card Fees                                    ")</f>
        <v xml:space="preserve">     Bank/card Fees                                    </v>
      </c>
      <c r="C25" s="14"/>
      <c r="D25" s="2">
        <f>SUM(OSRRefD22_0x_0)</f>
        <v>89.85</v>
      </c>
      <c r="E25" s="2"/>
      <c r="F25" s="6">
        <f>IF(D$12=0,0,D25/D$12)</f>
        <v>0.20425096612866561</v>
      </c>
      <c r="G25" s="2"/>
      <c r="H25" s="2">
        <f>SUM(OSRRefH22_0x_0)</f>
        <v>11.25</v>
      </c>
      <c r="I25" s="2"/>
      <c r="J25" s="6">
        <f>IF(H$12=0,0,H25/H$12)</f>
        <v>0.09</v>
      </c>
      <c r="K25" s="2"/>
      <c r="L25" s="2">
        <f>+D25-H25</f>
        <v>78.599999999999994</v>
      </c>
      <c r="M25" s="2"/>
      <c r="N25" s="6">
        <f>IF(H25=0,0,L25/H25)</f>
        <v>6.9866666666666664</v>
      </c>
      <c r="O25" s="14"/>
      <c r="P25" s="2">
        <f>SUM(OSRRefP22_0x_0)</f>
        <v>659.78</v>
      </c>
      <c r="Q25" s="2"/>
      <c r="R25" s="6">
        <f>IF(P$12=0,0,P25/P$12)</f>
        <v>0.42530506475172597</v>
      </c>
      <c r="S25" s="2"/>
      <c r="T25" s="2">
        <f>SUM(OSRRefT22_0x_0)</f>
        <v>60.75</v>
      </c>
      <c r="U25" s="2"/>
      <c r="V25" s="6">
        <f>IF(T$12=0,0,T25/T$12)</f>
        <v>0.09</v>
      </c>
      <c r="W25" s="2"/>
      <c r="X25" s="2">
        <f>+P25-T25</f>
        <v>599.03</v>
      </c>
      <c r="Y25" s="2"/>
      <c r="Z25" s="6">
        <f>IF(T25=0,0,X25/T25)</f>
        <v>9.8605761316872425</v>
      </c>
    </row>
    <row r="26" spans="1:26" s="70" customFormat="1" ht="15" hidden="1" customHeight="1" outlineLevel="2" x14ac:dyDescent="0.3">
      <c r="A26" s="26"/>
      <c r="B26" s="12" t="str">
        <f>CONCATENATE("          ","6381"," - ","BANK/CREDIT CARD FEES")</f>
        <v xml:space="preserve">          6381 - BANK/CREDIT CARD FEES</v>
      </c>
      <c r="C26" s="12"/>
      <c r="D26" s="7">
        <v>89.85</v>
      </c>
      <c r="E26" s="3"/>
      <c r="F26" s="8">
        <f>IF(D$12=0,0,D26/D$12)</f>
        <v>0.20425096612866561</v>
      </c>
      <c r="G26" s="3"/>
      <c r="H26" s="7">
        <v>11.25</v>
      </c>
      <c r="I26" s="3"/>
      <c r="J26" s="8">
        <f>IF(H$12=0,0,H26/H$12)</f>
        <v>0.09</v>
      </c>
      <c r="K26" s="3"/>
      <c r="L26" s="7">
        <f>+D26-H26</f>
        <v>78.599999999999994</v>
      </c>
      <c r="M26" s="3"/>
      <c r="N26" s="8">
        <f>IF(H26=0,0,L26/H26)</f>
        <v>6.9866666666666664</v>
      </c>
      <c r="O26" s="12"/>
      <c r="P26" s="7">
        <v>659.78</v>
      </c>
      <c r="Q26" s="3"/>
      <c r="R26" s="8">
        <f>IF(P$12=0,0,P26/P$12)</f>
        <v>0.42530506475172597</v>
      </c>
      <c r="S26" s="3"/>
      <c r="T26" s="7">
        <v>60.75</v>
      </c>
      <c r="U26" s="3"/>
      <c r="V26" s="8">
        <f>IF(T$12=0,0,T26/T$12)</f>
        <v>0.09</v>
      </c>
      <c r="W26" s="3"/>
      <c r="X26" s="7">
        <f>+P26-T26</f>
        <v>599.03</v>
      </c>
      <c r="Y26" s="3"/>
      <c r="Z26" s="8">
        <f>IF(T26=0,0,X26/T26)</f>
        <v>9.8605761316872425</v>
      </c>
    </row>
    <row r="27" spans="1:26" s="69" customFormat="1" ht="15" customHeight="1" outlineLevel="1" collapsed="1" x14ac:dyDescent="0.3">
      <c r="A27" s="25"/>
      <c r="B27" s="14" t="str">
        <f>CONCATENATE("     ","General                                           ")</f>
        <v xml:space="preserve">     General                                           </v>
      </c>
      <c r="C27" s="14"/>
      <c r="D27" s="2">
        <f>SUM(OSRRefD22_1x_0)</f>
        <v>0</v>
      </c>
      <c r="E27" s="2"/>
      <c r="F27" s="6">
        <f>IF(D$12=0,0,D27/D$12)</f>
        <v>0</v>
      </c>
      <c r="G27" s="2"/>
      <c r="H27" s="2">
        <f>SUM(OSRRefH22_1x_0)</f>
        <v>0</v>
      </c>
      <c r="I27" s="2"/>
      <c r="J27" s="6">
        <f>IF(H$12=0,0,H27/H$12)</f>
        <v>0</v>
      </c>
      <c r="K27" s="2"/>
      <c r="L27" s="2">
        <f>+D27-H27</f>
        <v>0</v>
      </c>
      <c r="M27" s="2"/>
      <c r="N27" s="6">
        <f>IF(H27=0,0,L27/H27)</f>
        <v>0</v>
      </c>
      <c r="O27" s="14"/>
      <c r="P27" s="2">
        <f>SUM(OSRRefP22_1x_0)</f>
        <v>758.88</v>
      </c>
      <c r="Q27" s="2"/>
      <c r="R27" s="6">
        <f>IF(P$12=0,0,P27/P$12)</f>
        <v>0.48918655845704601</v>
      </c>
      <c r="S27" s="2"/>
      <c r="T27" s="2">
        <f>SUM(OSRRefT22_1x_0)</f>
        <v>0</v>
      </c>
      <c r="U27" s="2"/>
      <c r="V27" s="6">
        <f>IF(T$12=0,0,T27/T$12)</f>
        <v>0</v>
      </c>
      <c r="W27" s="2"/>
      <c r="X27" s="2">
        <f>+P27-T27</f>
        <v>758.88</v>
      </c>
      <c r="Y27" s="2"/>
      <c r="Z27" s="6">
        <f>IF(T27=0,0,X27/T27)</f>
        <v>0</v>
      </c>
    </row>
    <row r="28" spans="1:26" s="70" customFormat="1" ht="15" hidden="1" customHeight="1" outlineLevel="2" x14ac:dyDescent="0.3">
      <c r="A28" s="26"/>
      <c r="B28" s="12" t="str">
        <f>CONCATENATE("          ","6279"," - ","GENERAL EXPENSE")</f>
        <v xml:space="preserve">          6279 - GENERAL EXPENSE</v>
      </c>
      <c r="C28" s="12"/>
      <c r="D28" s="7"/>
      <c r="E28" s="3"/>
      <c r="F28" s="8">
        <f>IF(D$12=0,0,D28/D$12)</f>
        <v>0</v>
      </c>
      <c r="G28" s="3"/>
      <c r="H28" s="7"/>
      <c r="I28" s="3"/>
      <c r="J28" s="8">
        <f>IF(H$12=0,0,H28/H$12)</f>
        <v>0</v>
      </c>
      <c r="K28" s="3"/>
      <c r="L28" s="7">
        <f>+D28-H28</f>
        <v>0</v>
      </c>
      <c r="M28" s="3"/>
      <c r="N28" s="8">
        <f>IF(H28=0,0,L28/H28)</f>
        <v>0</v>
      </c>
      <c r="O28" s="12"/>
      <c r="P28" s="7">
        <v>758.88</v>
      </c>
      <c r="Q28" s="3"/>
      <c r="R28" s="8">
        <f>IF(P$12=0,0,P28/P$12)</f>
        <v>0.48918655845704601</v>
      </c>
      <c r="S28" s="3"/>
      <c r="T28" s="7"/>
      <c r="U28" s="3"/>
      <c r="V28" s="8">
        <f>IF(T$12=0,0,T28/T$12)</f>
        <v>0</v>
      </c>
      <c r="W28" s="3"/>
      <c r="X28" s="7">
        <f>+P28-T28</f>
        <v>758.88</v>
      </c>
      <c r="Y28" s="3"/>
      <c r="Z28" s="8">
        <f>IF(T28=0,0,X28/T28)</f>
        <v>0</v>
      </c>
    </row>
    <row r="29" spans="1:26" s="65" customFormat="1" ht="15" customHeight="1" x14ac:dyDescent="0.3">
      <c r="A29" s="35"/>
      <c r="B29" s="35"/>
      <c r="C29" s="35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5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3" customFormat="1" ht="15" customHeight="1" x14ac:dyDescent="0.3">
      <c r="A30" s="11"/>
      <c r="B30" s="28" t="s">
        <v>291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292</v>
      </c>
      <c r="C32" s="27"/>
      <c r="D32" s="21">
        <f>+D22-D24+D30</f>
        <v>257.04999999999995</v>
      </c>
      <c r="E32" s="15"/>
      <c r="F32" s="23">
        <f>IF(D$12=0,0,D32/D$12)</f>
        <v>0.5843373493975903</v>
      </c>
      <c r="G32" s="15"/>
      <c r="H32" s="21">
        <f>+H22-H24+H30</f>
        <v>50.75</v>
      </c>
      <c r="I32" s="15"/>
      <c r="J32" s="23">
        <f>IF(H$12=0,0,H32/H$12)</f>
        <v>0.40600000000000003</v>
      </c>
      <c r="K32" s="17"/>
      <c r="L32" s="21">
        <f>+D32-H32</f>
        <v>206.29999999999995</v>
      </c>
      <c r="M32" s="17"/>
      <c r="N32" s="23">
        <f>IF(H32=0,0,L32/H32)</f>
        <v>4.0650246305418714</v>
      </c>
      <c r="O32" s="28"/>
      <c r="P32" s="21">
        <f>+P22-P24+P30</f>
        <v>100.45000000000005</v>
      </c>
      <c r="Q32" s="15"/>
      <c r="R32" s="23">
        <f>IF(P$12=0,0,P32/P$12)</f>
        <v>6.4751725960639744E-2</v>
      </c>
      <c r="S32" s="15"/>
      <c r="T32" s="21">
        <f>+T22-T24+T30</f>
        <v>275.25</v>
      </c>
      <c r="U32" s="15"/>
      <c r="V32" s="23">
        <f>IF(T$12=0,0,T32/T$12)</f>
        <v>0.40777777777777779</v>
      </c>
      <c r="W32" s="17"/>
      <c r="X32" s="21">
        <f>+P32-T32</f>
        <v>-174.79999999999995</v>
      </c>
      <c r="Y32" s="17"/>
      <c r="Z32" s="23">
        <f>IF(T32=0,0,X32/T32)</f>
        <v>-0.63505903723887358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3">
      <c r="A34" s="49"/>
      <c r="B34" s="11" t="s">
        <v>293</v>
      </c>
      <c r="C34" s="11"/>
      <c r="D34" s="5">
        <v>43.1</v>
      </c>
      <c r="E34" s="5"/>
      <c r="F34" s="13">
        <f>IF(D$12=0,0,D34/D$12)</f>
        <v>9.7976812912025465E-2</v>
      </c>
      <c r="G34" s="5"/>
      <c r="H34" s="5">
        <v>16</v>
      </c>
      <c r="I34" s="5"/>
      <c r="J34" s="13">
        <f>IF(H$12=0,0,H34/H$12)</f>
        <v>0.128</v>
      </c>
      <c r="K34" s="5"/>
      <c r="L34" s="5">
        <f>+D34-H34</f>
        <v>27.1</v>
      </c>
      <c r="M34" s="5"/>
      <c r="N34" s="13">
        <f>IF(H34=0,0,L34/H34)</f>
        <v>1.6937500000000001</v>
      </c>
      <c r="O34" s="11"/>
      <c r="P34" s="5">
        <v>175.74</v>
      </c>
      <c r="Q34" s="5"/>
      <c r="R34" s="13">
        <f>IF(P$12=0,0,P34/P$12)</f>
        <v>0.11328490114806197</v>
      </c>
      <c r="S34" s="5"/>
      <c r="T34" s="5">
        <v>83</v>
      </c>
      <c r="U34" s="5"/>
      <c r="V34" s="13">
        <f>IF(T$12=0,0,T34/T$12)</f>
        <v>0.12296296296296297</v>
      </c>
      <c r="W34" s="5"/>
      <c r="X34" s="5">
        <f>+P34-T34</f>
        <v>92.740000000000009</v>
      </c>
      <c r="Y34" s="5"/>
      <c r="Z34" s="13">
        <f>IF(T34=0,0,X34/T34)</f>
        <v>1.1173493975903614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294</v>
      </c>
      <c r="C36" s="27"/>
      <c r="D36" s="29">
        <f>+D32-D34</f>
        <v>213.94999999999996</v>
      </c>
      <c r="E36" s="15"/>
      <c r="F36" s="30">
        <f>IF(D$12=0,0,D36/D$12)</f>
        <v>0.48636053648556482</v>
      </c>
      <c r="G36" s="15"/>
      <c r="H36" s="29">
        <f>+H32-H34</f>
        <v>34.75</v>
      </c>
      <c r="I36" s="15"/>
      <c r="J36" s="30">
        <f>IF(H$12=0,0,H36/H$12)</f>
        <v>0.27800000000000002</v>
      </c>
      <c r="K36" s="17"/>
      <c r="L36" s="29">
        <f>D36-H36</f>
        <v>179.19999999999996</v>
      </c>
      <c r="M36" s="17"/>
      <c r="N36" s="30">
        <f>IF(H36=0,0,L36/H36)</f>
        <v>5.1568345323740994</v>
      </c>
      <c r="O36" s="28"/>
      <c r="P36" s="29">
        <f>+P32-P34</f>
        <v>-75.289999999999964</v>
      </c>
      <c r="Q36" s="15"/>
      <c r="R36" s="30">
        <f>IF(P$12=0,0,P36/P$12)</f>
        <v>-4.8533175187422221E-2</v>
      </c>
      <c r="S36" s="15"/>
      <c r="T36" s="29">
        <f>+T32-T34</f>
        <v>192.25</v>
      </c>
      <c r="U36" s="15"/>
      <c r="V36" s="30">
        <f>IF(T$12=0,0,T36/T$12)</f>
        <v>0.2848148148148148</v>
      </c>
      <c r="W36" s="17"/>
      <c r="X36" s="29">
        <f>P36-T36</f>
        <v>-267.53999999999996</v>
      </c>
      <c r="Y36" s="17"/>
      <c r="Z36" s="30">
        <f>IF(T36=0,0,X36/T36)</f>
        <v>-1.3916254876462937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3" customFormat="1" ht="15" customHeight="1" x14ac:dyDescent="0.3">
      <c r="A39" s="11"/>
      <c r="B39" s="27" t="s">
        <v>297</v>
      </c>
      <c r="C39" s="27"/>
      <c r="D39" s="32">
        <f>SUM(D36:D38)</f>
        <v>213.94999999999996</v>
      </c>
      <c r="E39" s="15"/>
      <c r="F39" s="34">
        <f>IF(D$12=0,0,D39/D$12)</f>
        <v>0.48636053648556482</v>
      </c>
      <c r="G39" s="15"/>
      <c r="H39" s="32">
        <f>SUM(H36:H38)</f>
        <v>34.75</v>
      </c>
      <c r="I39" s="15"/>
      <c r="J39" s="34">
        <f>IF(H$12=0,0,H39/H$12)</f>
        <v>0.27800000000000002</v>
      </c>
      <c r="K39" s="17"/>
      <c r="L39" s="32">
        <f>+D39-H39</f>
        <v>179.19999999999996</v>
      </c>
      <c r="M39" s="17"/>
      <c r="N39" s="34">
        <f>IF(H39=0,0,L39/H39)</f>
        <v>5.1568345323740994</v>
      </c>
      <c r="O39" s="28"/>
      <c r="P39" s="32">
        <f>SUM(P36:P38)</f>
        <v>-75.289999999999964</v>
      </c>
      <c r="Q39" s="15"/>
      <c r="R39" s="34">
        <f>IF(P$12=0,0,P39/P$12)</f>
        <v>-4.8533175187422221E-2</v>
      </c>
      <c r="S39" s="15"/>
      <c r="T39" s="32">
        <f>SUM(T36:T38)</f>
        <v>192.25</v>
      </c>
      <c r="U39" s="15"/>
      <c r="V39" s="34">
        <f>IF(T$12=0,0,T39/T$12)</f>
        <v>0.2848148148148148</v>
      </c>
      <c r="W39" s="17"/>
      <c r="X39" s="32">
        <f>+P39-T39</f>
        <v>-267.53999999999996</v>
      </c>
      <c r="Y39" s="17"/>
      <c r="Z39" s="34">
        <f>IF(T39=0,0,X39/T39)</f>
        <v>-1.3916254876462937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6">
        <v>44694.888552430559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0" t="s">
        <v>298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1"/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1D69C-5D44-13D6-0DD2-640031000000}">
  <sheetPr>
    <tabColor rgb="FFFFC000"/>
    <outlinePr summaryBelow="0" summaryRight="0"/>
  </sheetPr>
  <dimension ref="A2:Z13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310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2023087.5300000003</v>
      </c>
      <c r="E12" s="5"/>
      <c r="F12" s="13"/>
      <c r="G12" s="5"/>
      <c r="H12" s="5">
        <f>SUM(OSRRefH13x_0)</f>
        <v>1474890</v>
      </c>
      <c r="I12" s="5"/>
      <c r="J12" s="13"/>
      <c r="K12" s="5"/>
      <c r="L12" s="5">
        <f t="shared" ref="L12:L20" si="0">+D12-H12</f>
        <v>548197.53000000026</v>
      </c>
      <c r="M12" s="5"/>
      <c r="N12" s="13">
        <f t="shared" ref="N12:N20" si="1">IF(H12=0,0,L12/H12)</f>
        <v>0.37168706140796959</v>
      </c>
      <c r="O12" s="11"/>
      <c r="P12" s="5">
        <f>SUM(OSRRefP13x_0)</f>
        <v>12316579.900000002</v>
      </c>
      <c r="Q12" s="5"/>
      <c r="R12" s="13"/>
      <c r="S12" s="5"/>
      <c r="T12" s="5">
        <f>SUM(OSRRefT13x_0)</f>
        <v>10071784</v>
      </c>
      <c r="U12" s="5"/>
      <c r="V12" s="13"/>
      <c r="W12" s="5"/>
      <c r="X12" s="5">
        <f t="shared" ref="X12:X20" si="2">+P12-T12</f>
        <v>2244795.9000000022</v>
      </c>
      <c r="Y12" s="5"/>
      <c r="Z12" s="13">
        <f t="shared" ref="Z12:Z20" si="3">IF(T12=0,0,X12/T12)</f>
        <v>0.22287967057276073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171644</v>
      </c>
      <c r="I13" s="3"/>
      <c r="J13" s="20"/>
      <c r="K13" s="3"/>
      <c r="L13" s="3">
        <f t="shared" si="0"/>
        <v>-171644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724279</v>
      </c>
      <c r="U13" s="3"/>
      <c r="V13" s="20"/>
      <c r="W13" s="3"/>
      <c r="X13" s="3">
        <f t="shared" si="2"/>
        <v>-724279</v>
      </c>
      <c r="Y13" s="3"/>
      <c r="Z13" s="20">
        <f t="shared" si="3"/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--55113.37</f>
        <v>55113.37</v>
      </c>
      <c r="E14" s="3"/>
      <c r="F14" s="20"/>
      <c r="G14" s="3"/>
      <c r="H14" s="3"/>
      <c r="I14" s="3"/>
      <c r="J14" s="20"/>
      <c r="K14" s="3"/>
      <c r="L14" s="3">
        <f t="shared" si="0"/>
        <v>55113.37</v>
      </c>
      <c r="M14" s="3"/>
      <c r="N14" s="20">
        <f t="shared" si="1"/>
        <v>0</v>
      </c>
      <c r="O14" s="12"/>
      <c r="P14" s="3">
        <f>--318908.25</f>
        <v>318908.25</v>
      </c>
      <c r="Q14" s="3"/>
      <c r="R14" s="20"/>
      <c r="S14" s="3"/>
      <c r="T14" s="3"/>
      <c r="U14" s="3"/>
      <c r="V14" s="20"/>
      <c r="W14" s="3"/>
      <c r="X14" s="3">
        <f t="shared" si="2"/>
        <v>318908.25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--8084.06</f>
        <v>8084.06</v>
      </c>
      <c r="E15" s="3"/>
      <c r="F15" s="20"/>
      <c r="G15" s="3"/>
      <c r="H15" s="3"/>
      <c r="I15" s="3"/>
      <c r="J15" s="20"/>
      <c r="K15" s="3"/>
      <c r="L15" s="3">
        <f t="shared" si="0"/>
        <v>8084.06</v>
      </c>
      <c r="M15" s="3"/>
      <c r="N15" s="20">
        <f t="shared" si="1"/>
        <v>0</v>
      </c>
      <c r="O15" s="12"/>
      <c r="P15" s="3">
        <f>--28572.95</f>
        <v>28572.95</v>
      </c>
      <c r="Q15" s="3"/>
      <c r="R15" s="20"/>
      <c r="S15" s="3"/>
      <c r="T15" s="3"/>
      <c r="U15" s="3"/>
      <c r="V15" s="20"/>
      <c r="W15" s="3"/>
      <c r="X15" s="3">
        <f t="shared" si="2"/>
        <v>28572.95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--1014.83</f>
        <v>1014.83</v>
      </c>
      <c r="E16" s="3"/>
      <c r="F16" s="20"/>
      <c r="G16" s="3"/>
      <c r="H16" s="3"/>
      <c r="I16" s="3"/>
      <c r="J16" s="20"/>
      <c r="K16" s="3"/>
      <c r="L16" s="3">
        <f t="shared" si="0"/>
        <v>1014.83</v>
      </c>
      <c r="M16" s="3"/>
      <c r="N16" s="20">
        <f t="shared" si="1"/>
        <v>0</v>
      </c>
      <c r="O16" s="12"/>
      <c r="P16" s="3">
        <f>--1556.1</f>
        <v>1556.1</v>
      </c>
      <c r="Q16" s="3"/>
      <c r="R16" s="20"/>
      <c r="S16" s="3"/>
      <c r="T16" s="3"/>
      <c r="U16" s="3"/>
      <c r="V16" s="20"/>
      <c r="W16" s="3"/>
      <c r="X16" s="3">
        <f t="shared" si="2"/>
        <v>1556.1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","4100"," - ","NON-TAXABLE SALES")</f>
        <v xml:space="preserve">          4100 - NON-TAXABLE SALES</v>
      </c>
      <c r="C17" s="12"/>
      <c r="D17" s="3">
        <f>0</f>
        <v>0</v>
      </c>
      <c r="E17" s="3"/>
      <c r="F17" s="20"/>
      <c r="G17" s="3"/>
      <c r="H17" s="3">
        <v>1303246</v>
      </c>
      <c r="I17" s="3"/>
      <c r="J17" s="20"/>
      <c r="K17" s="3"/>
      <c r="L17" s="3">
        <f t="shared" si="0"/>
        <v>-1303246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v>9347505</v>
      </c>
      <c r="U17" s="3"/>
      <c r="V17" s="20"/>
      <c r="W17" s="3"/>
      <c r="X17" s="3">
        <f t="shared" si="2"/>
        <v>-9347505</v>
      </c>
      <c r="Y17" s="3"/>
      <c r="Z17" s="20">
        <f t="shared" si="3"/>
        <v>-1</v>
      </c>
    </row>
    <row r="18" spans="1:26" s="70" customFormat="1" ht="15" hidden="1" customHeight="1" outlineLevel="1" x14ac:dyDescent="0.3">
      <c r="A18" s="42"/>
      <c r="B18" s="12" t="str">
        <f>CONCATENATE("          ","4151"," - ","NON-TAXABLE SALES-FOOD")</f>
        <v xml:space="preserve">          4151 - NON-TAXABLE SALES-FOOD</v>
      </c>
      <c r="C18" s="12"/>
      <c r="D18" s="3">
        <f>--1941274.31</f>
        <v>1941274.31</v>
      </c>
      <c r="E18" s="3"/>
      <c r="F18" s="20"/>
      <c r="G18" s="3"/>
      <c r="H18" s="3"/>
      <c r="I18" s="3"/>
      <c r="J18" s="20"/>
      <c r="K18" s="3"/>
      <c r="L18" s="3">
        <f t="shared" si="0"/>
        <v>1941274.31</v>
      </c>
      <c r="M18" s="3"/>
      <c r="N18" s="20">
        <f t="shared" si="1"/>
        <v>0</v>
      </c>
      <c r="O18" s="12"/>
      <c r="P18" s="3">
        <f>--11851696.71</f>
        <v>11851696.710000001</v>
      </c>
      <c r="Q18" s="3"/>
      <c r="R18" s="20"/>
      <c r="S18" s="3"/>
      <c r="T18" s="3"/>
      <c r="U18" s="3"/>
      <c r="V18" s="20"/>
      <c r="W18" s="3"/>
      <c r="X18" s="3">
        <f t="shared" si="2"/>
        <v>11851696.710000001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","4153"," - ","NON-TAXABLE SALES-FOOD")</f>
        <v xml:space="preserve">          4153 - NON-TAXABLE SALES-FOOD</v>
      </c>
      <c r="C19" s="12"/>
      <c r="D19" s="3">
        <f>--15546.35</f>
        <v>15546.35</v>
      </c>
      <c r="E19" s="3"/>
      <c r="F19" s="20"/>
      <c r="G19" s="3"/>
      <c r="H19" s="3"/>
      <c r="I19" s="3"/>
      <c r="J19" s="20"/>
      <c r="K19" s="3"/>
      <c r="L19" s="3">
        <f t="shared" si="0"/>
        <v>15546.35</v>
      </c>
      <c r="M19" s="3"/>
      <c r="N19" s="20">
        <f t="shared" si="1"/>
        <v>0</v>
      </c>
      <c r="O19" s="12"/>
      <c r="P19" s="3">
        <f>--112046.57</f>
        <v>112046.57</v>
      </c>
      <c r="Q19" s="3"/>
      <c r="R19" s="20"/>
      <c r="S19" s="3"/>
      <c r="T19" s="3"/>
      <c r="U19" s="3"/>
      <c r="V19" s="20"/>
      <c r="W19" s="3"/>
      <c r="X19" s="3">
        <f t="shared" si="2"/>
        <v>112046.57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","4155"," - ","NON-TAXABLE SALES-FOOD")</f>
        <v xml:space="preserve">          4155 - NON-TAXABLE SALES-FOOD</v>
      </c>
      <c r="C20" s="12"/>
      <c r="D20" s="3">
        <f>--2054.61</f>
        <v>2054.61</v>
      </c>
      <c r="E20" s="3"/>
      <c r="F20" s="20"/>
      <c r="G20" s="3"/>
      <c r="H20" s="3"/>
      <c r="I20" s="3"/>
      <c r="J20" s="20"/>
      <c r="K20" s="3"/>
      <c r="L20" s="3">
        <f t="shared" si="0"/>
        <v>2054.61</v>
      </c>
      <c r="M20" s="3"/>
      <c r="N20" s="20">
        <f t="shared" si="1"/>
        <v>0</v>
      </c>
      <c r="O20" s="12"/>
      <c r="P20" s="3">
        <f>--3799.32</f>
        <v>3799.32</v>
      </c>
      <c r="Q20" s="3"/>
      <c r="R20" s="20"/>
      <c r="S20" s="3"/>
      <c r="T20" s="3"/>
      <c r="U20" s="3"/>
      <c r="V20" s="20"/>
      <c r="W20" s="3"/>
      <c r="X20" s="3">
        <f t="shared" si="2"/>
        <v>3799.32</v>
      </c>
      <c r="Y20" s="3"/>
      <c r="Z20" s="20">
        <f t="shared" si="3"/>
        <v>0</v>
      </c>
    </row>
    <row r="21" spans="1:26" ht="15" customHeight="1" x14ac:dyDescent="0.3">
      <c r="A21" s="10"/>
      <c r="B21" s="11"/>
      <c r="C21" s="10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collapsed="1" x14ac:dyDescent="0.3">
      <c r="A22" s="11"/>
      <c r="B22" s="28" t="s">
        <v>288</v>
      </c>
      <c r="C22" s="11"/>
      <c r="D22" s="5">
        <f>SUM(OSRRefD16x_0)</f>
        <v>443045.46</v>
      </c>
      <c r="E22" s="5"/>
      <c r="F22" s="13">
        <f>IF(D$12=0,0,D22/D$12)</f>
        <v>0.21899470657109926</v>
      </c>
      <c r="G22" s="5"/>
      <c r="H22" s="5">
        <f>SUM(OSRRefH16x_0)</f>
        <v>424861</v>
      </c>
      <c r="I22" s="5"/>
      <c r="J22" s="13">
        <f>IF(H$12=0,0,H22/H$12)</f>
        <v>0.28806283858457243</v>
      </c>
      <c r="K22" s="5"/>
      <c r="L22" s="5">
        <f>+D22-H22</f>
        <v>18184.460000000021</v>
      </c>
      <c r="M22" s="5"/>
      <c r="N22" s="13">
        <f>IF(H22=0,0,L22/H22)</f>
        <v>4.2800963138532419E-2</v>
      </c>
      <c r="O22" s="11"/>
      <c r="P22" s="5">
        <f>SUM(OSRRefP16x_0)</f>
        <v>3103980.99</v>
      </c>
      <c r="Q22" s="5"/>
      <c r="R22" s="13">
        <f>IF(P$12=0,0,P22/P$12)</f>
        <v>0.25201647009166883</v>
      </c>
      <c r="S22" s="5"/>
      <c r="T22" s="5">
        <f>SUM(OSRRefT16x_0)</f>
        <v>2911021</v>
      </c>
      <c r="U22" s="5"/>
      <c r="V22" s="13">
        <f>IF(T$12=0,0,T22/T$12)</f>
        <v>0.28902734609876463</v>
      </c>
      <c r="W22" s="5"/>
      <c r="X22" s="5">
        <f>+P22-T22</f>
        <v>192959.99000000022</v>
      </c>
      <c r="Y22" s="5"/>
      <c r="Z22" s="13">
        <f>IF(T22=0,0,X22/T22)</f>
        <v>6.6286017861087301E-2</v>
      </c>
    </row>
    <row r="23" spans="1:26" s="70" customFormat="1" ht="15" hidden="1" customHeight="1" outlineLevel="1" x14ac:dyDescent="0.3">
      <c r="A23" s="42"/>
      <c r="B23" s="12" t="str">
        <f>CONCATENATE("          ","5000"," - ","PURCHASES @ COST")</f>
        <v xml:space="preserve">          5000 - PURCHASES @ COST</v>
      </c>
      <c r="C23" s="12"/>
      <c r="D23" s="3"/>
      <c r="E23" s="3"/>
      <c r="F23" s="20">
        <f>IF(D$12=0,0,D23/D$12)</f>
        <v>0</v>
      </c>
      <c r="G23" s="3"/>
      <c r="H23" s="3">
        <v>424861</v>
      </c>
      <c r="I23" s="3"/>
      <c r="J23" s="20">
        <f>IF(H$12=0,0,H23/H$12)</f>
        <v>0.28806283858457243</v>
      </c>
      <c r="K23" s="3"/>
      <c r="L23" s="3">
        <f>+D23-H23</f>
        <v>-424861</v>
      </c>
      <c r="M23" s="3"/>
      <c r="N23" s="20">
        <f>IF(H23=0,0,L23/H23)</f>
        <v>-1</v>
      </c>
      <c r="O23" s="12"/>
      <c r="P23" s="3"/>
      <c r="Q23" s="3"/>
      <c r="R23" s="20">
        <f>IF(P$12=0,0,P23/P$12)</f>
        <v>0</v>
      </c>
      <c r="S23" s="3"/>
      <c r="T23" s="3">
        <v>2911021</v>
      </c>
      <c r="U23" s="3"/>
      <c r="V23" s="20">
        <f>IF(T$12=0,0,T23/T$12)</f>
        <v>0.28902734609876463</v>
      </c>
      <c r="W23" s="3"/>
      <c r="X23" s="3">
        <f>+P23-T23</f>
        <v>-2911021</v>
      </c>
      <c r="Y23" s="3"/>
      <c r="Z23" s="20">
        <f>IF(T23=0,0,X23/T23)</f>
        <v>-1</v>
      </c>
    </row>
    <row r="24" spans="1:26" s="70" customFormat="1" ht="15" hidden="1" customHeight="1" outlineLevel="1" x14ac:dyDescent="0.3">
      <c r="A24" s="42"/>
      <c r="B24" s="12" t="str">
        <f>CONCATENATE("          ","5053"," - ","PURCHASES @ COST-FOOD")</f>
        <v xml:space="preserve">          5053 - PURCHASES @ COST-FOOD</v>
      </c>
      <c r="C24" s="12"/>
      <c r="D24" s="3">
        <v>422423.33</v>
      </c>
      <c r="E24" s="3"/>
      <c r="F24" s="20">
        <f>IF(D$12=0,0,D24/D$12)</f>
        <v>0.20880131172574623</v>
      </c>
      <c r="G24" s="3"/>
      <c r="H24" s="3"/>
      <c r="I24" s="3"/>
      <c r="J24" s="20">
        <f>IF(H$12=0,0,H24/H$12)</f>
        <v>0</v>
      </c>
      <c r="K24" s="3"/>
      <c r="L24" s="3">
        <f>+D24-H24</f>
        <v>422423.33</v>
      </c>
      <c r="M24" s="3"/>
      <c r="N24" s="20">
        <f>IF(H24=0,0,L24/H24)</f>
        <v>0</v>
      </c>
      <c r="O24" s="12"/>
      <c r="P24" s="3">
        <v>3078065.68</v>
      </c>
      <c r="Q24" s="3"/>
      <c r="R24" s="20">
        <f>IF(P$12=0,0,P24/P$12)</f>
        <v>0.24991237055994739</v>
      </c>
      <c r="S24" s="3"/>
      <c r="T24" s="3"/>
      <c r="U24" s="3"/>
      <c r="V24" s="20">
        <f>IF(T$12=0,0,T24/T$12)</f>
        <v>0</v>
      </c>
      <c r="W24" s="3"/>
      <c r="X24" s="3">
        <f>+P24-T24</f>
        <v>3078065.68</v>
      </c>
      <c r="Y24" s="3"/>
      <c r="Z24" s="20">
        <f>IF(T24=0,0,X24/T24)</f>
        <v>0</v>
      </c>
    </row>
    <row r="25" spans="1:26" s="70" customFormat="1" ht="15" hidden="1" customHeight="1" outlineLevel="1" x14ac:dyDescent="0.3">
      <c r="A25" s="42"/>
      <c r="B25" s="12" t="str">
        <f>CONCATENATE("          ","5059"," - ","PURCHASES @ COST-FOOD")</f>
        <v xml:space="preserve">          5059 - PURCHASES @ COST-FOOD</v>
      </c>
      <c r="C25" s="12"/>
      <c r="D25" s="3">
        <v>20622.13</v>
      </c>
      <c r="E25" s="3"/>
      <c r="F25" s="20">
        <f>IF(D$12=0,0,D25/D$12)</f>
        <v>1.0193394845353032E-2</v>
      </c>
      <c r="G25" s="3"/>
      <c r="H25" s="3"/>
      <c r="I25" s="3"/>
      <c r="J25" s="20">
        <f>IF(H$12=0,0,H25/H$12)</f>
        <v>0</v>
      </c>
      <c r="K25" s="3"/>
      <c r="L25" s="3">
        <f>+D25-H25</f>
        <v>20622.13</v>
      </c>
      <c r="M25" s="3"/>
      <c r="N25" s="20">
        <f>IF(H25=0,0,L25/H25)</f>
        <v>0</v>
      </c>
      <c r="O25" s="12"/>
      <c r="P25" s="3">
        <v>25915.31</v>
      </c>
      <c r="Q25" s="3"/>
      <c r="R25" s="20">
        <f>IF(P$12=0,0,P25/P$12)</f>
        <v>2.1040995317214641E-3</v>
      </c>
      <c r="S25" s="3"/>
      <c r="T25" s="3"/>
      <c r="U25" s="3"/>
      <c r="V25" s="20">
        <f>IF(T$12=0,0,T25/T$12)</f>
        <v>0</v>
      </c>
      <c r="W25" s="3"/>
      <c r="X25" s="3">
        <f>+P25-T25</f>
        <v>25915.31</v>
      </c>
      <c r="Y25" s="3"/>
      <c r="Z25" s="20">
        <f>IF(T25=0,0,X25/T25)</f>
        <v>0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289</v>
      </c>
      <c r="C27" s="27"/>
      <c r="D27" s="21">
        <f>D12-D22</f>
        <v>1580042.0700000003</v>
      </c>
      <c r="E27" s="15"/>
      <c r="F27" s="23">
        <f>IF(D$12=0,0,D27/D$12)</f>
        <v>0.78100529342890079</v>
      </c>
      <c r="G27" s="15"/>
      <c r="H27" s="21">
        <f>H12-H22</f>
        <v>1050029</v>
      </c>
      <c r="I27" s="15"/>
      <c r="J27" s="23">
        <f>IF(H$12=0,0,H27/H$12)</f>
        <v>0.71193716141542762</v>
      </c>
      <c r="K27" s="17"/>
      <c r="L27" s="21">
        <f>+D27-H27</f>
        <v>530013.0700000003</v>
      </c>
      <c r="M27" s="17"/>
      <c r="N27" s="23">
        <f>IF(H27=0,0,L27/H27)</f>
        <v>0.50476041137911454</v>
      </c>
      <c r="O27" s="28"/>
      <c r="P27" s="21">
        <f>P12-P22</f>
        <v>9212598.910000002</v>
      </c>
      <c r="Q27" s="15"/>
      <c r="R27" s="23">
        <f>IF(P$12=0,0,P27/P$12)</f>
        <v>0.74798352990833117</v>
      </c>
      <c r="S27" s="15"/>
      <c r="T27" s="21">
        <f>T12-T22</f>
        <v>7160763</v>
      </c>
      <c r="U27" s="15"/>
      <c r="V27" s="23">
        <f>IF(T$12=0,0,T27/T$12)</f>
        <v>0.71097265390123532</v>
      </c>
      <c r="W27" s="17"/>
      <c r="X27" s="21">
        <f>+P27-T27</f>
        <v>2051835.910000002</v>
      </c>
      <c r="Y27" s="17"/>
      <c r="Z27" s="23">
        <f>IF(T27=0,0,X27/T27)</f>
        <v>0.28653872638991151</v>
      </c>
    </row>
    <row r="28" spans="1:26" ht="15" customHeight="1" x14ac:dyDescent="0.3">
      <c r="A28" s="10"/>
      <c r="B28" s="11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3">
      <c r="A29" s="11"/>
      <c r="B29" s="28" t="s">
        <v>290</v>
      </c>
      <c r="C29" s="11"/>
      <c r="D29" s="22" cm="1">
        <f t="array" ref="D29">SUM(OSRRefD22x_0)</f>
        <v>863888.94</v>
      </c>
      <c r="E29" s="22"/>
      <c r="F29" s="33">
        <f t="shared" ref="F29:F60" si="4">IF(D$12=0,0,D29/D$12)</f>
        <v>0.4270151079424625</v>
      </c>
      <c r="G29" s="22"/>
      <c r="H29" s="22" cm="1">
        <f t="array" ref="H29">SUM(OSRRefH22x_0)</f>
        <v>849065.69687074062</v>
      </c>
      <c r="I29" s="22"/>
      <c r="J29" s="33">
        <f t="shared" ref="J29:J60" si="5">IF(H$12=0,0,H29/H$12)</f>
        <v>0.57568069270978894</v>
      </c>
      <c r="K29" s="5"/>
      <c r="L29" s="22">
        <f t="shared" ref="L29:L60" si="6">+D29-H29</f>
        <v>14823.243129259325</v>
      </c>
      <c r="M29" s="5"/>
      <c r="N29" s="33">
        <f t="shared" ref="N29:N60" si="7">IF(H29=0,0,L29/H29)</f>
        <v>1.7458299380001891E-2</v>
      </c>
      <c r="O29" s="11"/>
      <c r="P29" s="22" cm="1">
        <f t="array" ref="P29">SUM(OSRRefP22x_0)</f>
        <v>6653869.8499999987</v>
      </c>
      <c r="Q29" s="22"/>
      <c r="R29" s="33">
        <f t="shared" ref="R29:R60" si="8">IF(P$12=0,0,P29/P$12)</f>
        <v>0.54023681119463995</v>
      </c>
      <c r="S29" s="22"/>
      <c r="T29" s="22" cm="1">
        <f t="array" ref="T29">SUM(OSRRefT22x_0)</f>
        <v>7120561.8625425687</v>
      </c>
      <c r="U29" s="22"/>
      <c r="V29" s="33">
        <f t="shared" ref="V29:V60" si="9">IF(T$12=0,0,T29/T$12)</f>
        <v>0.70698119246228563</v>
      </c>
      <c r="W29" s="5"/>
      <c r="X29" s="22">
        <f t="shared" ref="X29:X60" si="10">+P29-T29</f>
        <v>-466692.01254257001</v>
      </c>
      <c r="Y29" s="5"/>
      <c r="Z29" s="33">
        <f t="shared" ref="Z29:Z60" si="11">IF(T29=0,0,X29/T29)</f>
        <v>-6.5541458883685108E-2</v>
      </c>
    </row>
    <row r="30" spans="1:26" s="69" customFormat="1" ht="15" customHeight="1" outlineLevel="1" collapsed="1" x14ac:dyDescent="0.3">
      <c r="A30" s="25"/>
      <c r="B30" s="14" t="str">
        <f>CONCATENATE("     ","*Benefits                                         ")</f>
        <v xml:space="preserve">     *Benefits                                         </v>
      </c>
      <c r="C30" s="14"/>
      <c r="D30" s="2">
        <f>SUM(OSRRefD22_0x_0)</f>
        <v>131911.00999999998</v>
      </c>
      <c r="E30" s="2"/>
      <c r="F30" s="6">
        <f t="shared" si="4"/>
        <v>6.5202818980353239E-2</v>
      </c>
      <c r="G30" s="2"/>
      <c r="H30" s="2">
        <f>SUM(OSRRefH22_0x_0)</f>
        <v>164429.15691343302</v>
      </c>
      <c r="I30" s="2"/>
      <c r="J30" s="6">
        <f t="shared" si="5"/>
        <v>0.11148570870602759</v>
      </c>
      <c r="K30" s="2"/>
      <c r="L30" s="2">
        <f t="shared" si="6"/>
        <v>-32518.14691343304</v>
      </c>
      <c r="M30" s="2"/>
      <c r="N30" s="6">
        <f t="shared" si="7"/>
        <v>-0.19776387304930879</v>
      </c>
      <c r="O30" s="14"/>
      <c r="P30" s="2">
        <f>SUM(OSRRefP22_0x_0)</f>
        <v>1181449.9700000002</v>
      </c>
      <c r="Q30" s="2"/>
      <c r="R30" s="6">
        <f t="shared" si="8"/>
        <v>9.5923542054072983E-2</v>
      </c>
      <c r="S30" s="2"/>
      <c r="T30" s="2">
        <f>SUM(OSRRefT22_0x_0)</f>
        <v>1437486.5793702621</v>
      </c>
      <c r="U30" s="2"/>
      <c r="V30" s="6">
        <f t="shared" si="9"/>
        <v>0.14272412706331492</v>
      </c>
      <c r="W30" s="2"/>
      <c r="X30" s="2">
        <f t="shared" si="10"/>
        <v>-256036.6093702619</v>
      </c>
      <c r="Y30" s="2"/>
      <c r="Z30" s="6">
        <f t="shared" si="11"/>
        <v>-0.178114086798937</v>
      </c>
    </row>
    <row r="31" spans="1:26" s="70" customFormat="1" ht="15" hidden="1" customHeight="1" outlineLevel="2" x14ac:dyDescent="0.3">
      <c r="A31" s="26"/>
      <c r="B31" s="12" t="str">
        <f>CONCATENATE("          ","6111"," - ","F.I.C.A.")</f>
        <v xml:space="preserve">          6111 - F.I.C.A.</v>
      </c>
      <c r="C31" s="12"/>
      <c r="D31" s="7">
        <v>24355.09</v>
      </c>
      <c r="E31" s="3"/>
      <c r="F31" s="8">
        <f t="shared" si="4"/>
        <v>1.2038574524751282E-2</v>
      </c>
      <c r="G31" s="3"/>
      <c r="H31" s="7">
        <v>19263.265089663699</v>
      </c>
      <c r="I31" s="3"/>
      <c r="J31" s="8">
        <f t="shared" si="5"/>
        <v>1.3060814765618926E-2</v>
      </c>
      <c r="K31" s="3"/>
      <c r="L31" s="7">
        <f t="shared" si="6"/>
        <v>5091.8249103363014</v>
      </c>
      <c r="M31" s="3"/>
      <c r="N31" s="8">
        <f t="shared" si="7"/>
        <v>0.26432823753583073</v>
      </c>
      <c r="O31" s="12"/>
      <c r="P31" s="7">
        <v>170952.44</v>
      </c>
      <c r="Q31" s="3"/>
      <c r="R31" s="8">
        <f t="shared" si="8"/>
        <v>1.3879862866801195E-2</v>
      </c>
      <c r="S31" s="3"/>
      <c r="T31" s="7">
        <v>167034.22407580001</v>
      </c>
      <c r="U31" s="3"/>
      <c r="V31" s="8">
        <f t="shared" si="9"/>
        <v>1.6584373143407365E-2</v>
      </c>
      <c r="W31" s="3"/>
      <c r="X31" s="7">
        <f t="shared" si="10"/>
        <v>3918.2159241999907</v>
      </c>
      <c r="Y31" s="3"/>
      <c r="Z31" s="8">
        <f t="shared" si="11"/>
        <v>2.3457563537529334E-2</v>
      </c>
    </row>
    <row r="32" spans="1:26" s="70" customFormat="1" ht="15" hidden="1" customHeight="1" outlineLevel="2" x14ac:dyDescent="0.3">
      <c r="A32" s="26"/>
      <c r="B32" s="12" t="str">
        <f>CONCATENATE("          ","6112"," - ","COMPENSATION INSURANCE")</f>
        <v xml:space="preserve">          6112 - COMPENSATION INSURANCE</v>
      </c>
      <c r="C32" s="12"/>
      <c r="D32" s="7">
        <v>11031.17</v>
      </c>
      <c r="E32" s="3"/>
      <c r="F32" s="8">
        <f t="shared" si="4"/>
        <v>5.4526409937389105E-3</v>
      </c>
      <c r="G32" s="3"/>
      <c r="H32" s="7">
        <v>16925.9788305416</v>
      </c>
      <c r="I32" s="3"/>
      <c r="J32" s="8">
        <f t="shared" si="5"/>
        <v>1.1476095729540238E-2</v>
      </c>
      <c r="K32" s="3"/>
      <c r="L32" s="7">
        <f t="shared" si="6"/>
        <v>-5894.8088305416004</v>
      </c>
      <c r="M32" s="3"/>
      <c r="N32" s="8">
        <f t="shared" si="7"/>
        <v>-0.34826989266374836</v>
      </c>
      <c r="O32" s="12"/>
      <c r="P32" s="7">
        <v>99190.83</v>
      </c>
      <c r="Q32" s="3"/>
      <c r="R32" s="8">
        <f t="shared" si="8"/>
        <v>8.0534394129980827E-3</v>
      </c>
      <c r="S32" s="3"/>
      <c r="T32" s="7">
        <v>135377.172146022</v>
      </c>
      <c r="U32" s="3"/>
      <c r="V32" s="8">
        <f t="shared" si="9"/>
        <v>1.344123068425832E-2</v>
      </c>
      <c r="W32" s="3"/>
      <c r="X32" s="7">
        <f t="shared" si="10"/>
        <v>-36186.342146021998</v>
      </c>
      <c r="Y32" s="3"/>
      <c r="Z32" s="8">
        <f t="shared" si="11"/>
        <v>-0.26730017751434704</v>
      </c>
    </row>
    <row r="33" spans="1:26" s="70" customFormat="1" ht="15" hidden="1" customHeight="1" outlineLevel="2" x14ac:dyDescent="0.3">
      <c r="A33" s="26"/>
      <c r="B33" s="12" t="str">
        <f>CONCATENATE("          ","6113"," - ","GROUP INSURANCE")</f>
        <v xml:space="preserve">          6113 - GROUP INSURANCE</v>
      </c>
      <c r="C33" s="12"/>
      <c r="D33" s="7">
        <v>51599.519999999997</v>
      </c>
      <c r="E33" s="3"/>
      <c r="F33" s="8">
        <f t="shared" si="4"/>
        <v>2.5505332436110657E-2</v>
      </c>
      <c r="G33" s="3"/>
      <c r="H33" s="7">
        <v>89589.615384615405</v>
      </c>
      <c r="I33" s="3"/>
      <c r="J33" s="8">
        <f t="shared" si="5"/>
        <v>6.0743252299910774E-2</v>
      </c>
      <c r="K33" s="3"/>
      <c r="L33" s="7">
        <f t="shared" si="6"/>
        <v>-37990.095384615408</v>
      </c>
      <c r="M33" s="3"/>
      <c r="N33" s="8">
        <f t="shared" si="7"/>
        <v>-0.42404574706031367</v>
      </c>
      <c r="O33" s="12"/>
      <c r="P33" s="7">
        <v>547158.53</v>
      </c>
      <c r="Q33" s="3"/>
      <c r="R33" s="8">
        <f t="shared" si="8"/>
        <v>4.4424550844670764E-2</v>
      </c>
      <c r="S33" s="3"/>
      <c r="T33" s="7">
        <v>804113.65769230796</v>
      </c>
      <c r="U33" s="3"/>
      <c r="V33" s="8">
        <f t="shared" si="9"/>
        <v>7.9838254840682438E-2</v>
      </c>
      <c r="W33" s="3"/>
      <c r="X33" s="7">
        <f t="shared" si="10"/>
        <v>-256955.12769230793</v>
      </c>
      <c r="Y33" s="3"/>
      <c r="Z33" s="8">
        <f t="shared" si="11"/>
        <v>-0.31955075658052207</v>
      </c>
    </row>
    <row r="34" spans="1:26" s="70" customFormat="1" ht="15" hidden="1" customHeight="1" outlineLevel="2" x14ac:dyDescent="0.3">
      <c r="A34" s="26"/>
      <c r="B34" s="12" t="str">
        <f>CONCATENATE("          ","6114"," - ","STATE UNEMPLOYMENT INSURANCE")</f>
        <v xml:space="preserve">          6114 - STATE UNEMPLOYMENT INSURANCE</v>
      </c>
      <c r="C34" s="12"/>
      <c r="D34" s="7">
        <v>826.79</v>
      </c>
      <c r="E34" s="3"/>
      <c r="F34" s="8">
        <f t="shared" si="4"/>
        <v>4.0867732499937846E-4</v>
      </c>
      <c r="G34" s="3"/>
      <c r="H34" s="7">
        <v>937.85106976615396</v>
      </c>
      <c r="I34" s="3"/>
      <c r="J34" s="8">
        <f t="shared" si="5"/>
        <v>6.3587865519879722E-4</v>
      </c>
      <c r="K34" s="3"/>
      <c r="L34" s="7">
        <f t="shared" si="6"/>
        <v>-111.06106976615399</v>
      </c>
      <c r="M34" s="3"/>
      <c r="N34" s="8">
        <f t="shared" si="7"/>
        <v>-0.11842079552550516</v>
      </c>
      <c r="O34" s="12"/>
      <c r="P34" s="7">
        <v>7475.84</v>
      </c>
      <c r="Q34" s="3"/>
      <c r="R34" s="8">
        <f t="shared" si="8"/>
        <v>6.0697369405284321E-4</v>
      </c>
      <c r="S34" s="3"/>
      <c r="T34" s="7">
        <v>7501.1098022861597</v>
      </c>
      <c r="U34" s="3"/>
      <c r="V34" s="8">
        <f t="shared" si="9"/>
        <v>7.447647608691926E-4</v>
      </c>
      <c r="W34" s="3"/>
      <c r="X34" s="7">
        <f t="shared" si="10"/>
        <v>-25.269802286159575</v>
      </c>
      <c r="Y34" s="3"/>
      <c r="Z34" s="8">
        <f t="shared" si="11"/>
        <v>-3.3688084766414087E-3</v>
      </c>
    </row>
    <row r="35" spans="1:26" s="70" customFormat="1" ht="15" hidden="1" customHeight="1" outlineLevel="2" x14ac:dyDescent="0.3">
      <c r="A35" s="26"/>
      <c r="B35" s="12" t="str">
        <f>CONCATENATE("          ","6115"," - ","P.E.R.S.")</f>
        <v xml:space="preserve">          6115 - P.E.R.S.</v>
      </c>
      <c r="C35" s="12"/>
      <c r="D35" s="7">
        <v>9806.4599999999991</v>
      </c>
      <c r="E35" s="3"/>
      <c r="F35" s="8">
        <f t="shared" si="4"/>
        <v>4.8472742056790783E-3</v>
      </c>
      <c r="G35" s="3"/>
      <c r="H35" s="7">
        <v>8320.4133384615507</v>
      </c>
      <c r="I35" s="3"/>
      <c r="J35" s="8">
        <f t="shared" si="5"/>
        <v>5.6413789085705043E-3</v>
      </c>
      <c r="K35" s="3"/>
      <c r="L35" s="7">
        <f t="shared" si="6"/>
        <v>1486.0466615384485</v>
      </c>
      <c r="M35" s="3"/>
      <c r="N35" s="8">
        <f t="shared" si="7"/>
        <v>0.17860250459783281</v>
      </c>
      <c r="O35" s="12"/>
      <c r="P35" s="7">
        <v>77741.990000000005</v>
      </c>
      <c r="Q35" s="3"/>
      <c r="R35" s="8">
        <f t="shared" si="8"/>
        <v>6.3119787011652476E-3</v>
      </c>
      <c r="S35" s="3"/>
      <c r="T35" s="7">
        <v>70128.624518461598</v>
      </c>
      <c r="U35" s="3"/>
      <c r="V35" s="8">
        <f t="shared" si="9"/>
        <v>6.9628801132412691E-3</v>
      </c>
      <c r="W35" s="3"/>
      <c r="X35" s="7">
        <f t="shared" si="10"/>
        <v>7613.365481538407</v>
      </c>
      <c r="Y35" s="3"/>
      <c r="Z35" s="8">
        <f t="shared" si="11"/>
        <v>0.10856288047591983</v>
      </c>
    </row>
    <row r="36" spans="1:26" s="70" customFormat="1" ht="15" hidden="1" customHeight="1" outlineLevel="2" x14ac:dyDescent="0.3">
      <c r="A36" s="26"/>
      <c r="B36" s="12" t="str">
        <f>CONCATENATE("          ","6116"," - ","EDUCATIONAL BENEFITS")</f>
        <v xml:space="preserve">          6116 - EDUCATIONAL BENEFITS</v>
      </c>
      <c r="C36" s="12"/>
      <c r="D36" s="7"/>
      <c r="E36" s="3"/>
      <c r="F36" s="8">
        <f t="shared" si="4"/>
        <v>0</v>
      </c>
      <c r="G36" s="3"/>
      <c r="H36" s="7">
        <v>0</v>
      </c>
      <c r="I36" s="3"/>
      <c r="J36" s="8">
        <f t="shared" si="5"/>
        <v>0</v>
      </c>
      <c r="K36" s="3"/>
      <c r="L36" s="7">
        <f t="shared" si="6"/>
        <v>0</v>
      </c>
      <c r="M36" s="3"/>
      <c r="N36" s="8">
        <f t="shared" si="7"/>
        <v>0</v>
      </c>
      <c r="O36" s="12"/>
      <c r="P36" s="7"/>
      <c r="Q36" s="3"/>
      <c r="R36" s="8">
        <f t="shared" si="8"/>
        <v>0</v>
      </c>
      <c r="S36" s="3"/>
      <c r="T36" s="7">
        <v>0</v>
      </c>
      <c r="U36" s="3"/>
      <c r="V36" s="8">
        <f t="shared" si="9"/>
        <v>0</v>
      </c>
      <c r="W36" s="3"/>
      <c r="X36" s="7">
        <f t="shared" si="10"/>
        <v>0</v>
      </c>
      <c r="Y36" s="3"/>
      <c r="Z36" s="8">
        <f t="shared" si="11"/>
        <v>0</v>
      </c>
    </row>
    <row r="37" spans="1:26" s="70" customFormat="1" ht="15" hidden="1" customHeight="1" outlineLevel="2" x14ac:dyDescent="0.3">
      <c r="A37" s="26"/>
      <c r="B37" s="12" t="str">
        <f>CONCATENATE("          ","6117"," - ","RETIREMENT STAFF HOURLY")</f>
        <v xml:space="preserve">          6117 - RETIREMENT STAFF HOURLY</v>
      </c>
      <c r="C37" s="12"/>
      <c r="D37" s="7">
        <v>1515.22</v>
      </c>
      <c r="E37" s="3"/>
      <c r="F37" s="8">
        <f t="shared" si="4"/>
        <v>7.4896413404317702E-4</v>
      </c>
      <c r="G37" s="3"/>
      <c r="H37" s="7"/>
      <c r="I37" s="3"/>
      <c r="J37" s="8">
        <f t="shared" si="5"/>
        <v>0</v>
      </c>
      <c r="K37" s="3"/>
      <c r="L37" s="7">
        <f t="shared" si="6"/>
        <v>1515.22</v>
      </c>
      <c r="M37" s="3"/>
      <c r="N37" s="8">
        <f t="shared" si="7"/>
        <v>0</v>
      </c>
      <c r="O37" s="12"/>
      <c r="P37" s="7">
        <v>17074.93</v>
      </c>
      <c r="Q37" s="3"/>
      <c r="R37" s="8">
        <f t="shared" si="8"/>
        <v>1.3863369651830049E-3</v>
      </c>
      <c r="S37" s="3"/>
      <c r="T37" s="7"/>
      <c r="U37" s="3"/>
      <c r="V37" s="8">
        <f t="shared" si="9"/>
        <v>0</v>
      </c>
      <c r="W37" s="3"/>
      <c r="X37" s="7">
        <f t="shared" si="10"/>
        <v>17074.93</v>
      </c>
      <c r="Y37" s="3"/>
      <c r="Z37" s="8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","6118"," - ","VACATION")</f>
        <v xml:space="preserve">          6118 - VACATION</v>
      </c>
      <c r="C38" s="12"/>
      <c r="D38" s="7">
        <v>15047.48</v>
      </c>
      <c r="E38" s="3"/>
      <c r="F38" s="8">
        <f t="shared" si="4"/>
        <v>7.4378788741780236E-3</v>
      </c>
      <c r="G38" s="3"/>
      <c r="H38" s="7">
        <v>10139.3235636923</v>
      </c>
      <c r="I38" s="3"/>
      <c r="J38" s="8">
        <f t="shared" si="5"/>
        <v>6.8746303545974951E-3</v>
      </c>
      <c r="K38" s="3"/>
      <c r="L38" s="7">
        <f t="shared" si="6"/>
        <v>4908.1564363076996</v>
      </c>
      <c r="M38" s="3"/>
      <c r="N38" s="8">
        <f t="shared" si="7"/>
        <v>0.48407138853751724</v>
      </c>
      <c r="O38" s="12"/>
      <c r="P38" s="7">
        <v>117529.77</v>
      </c>
      <c r="Q38" s="3"/>
      <c r="R38" s="8">
        <f t="shared" si="8"/>
        <v>9.5424030822062848E-3</v>
      </c>
      <c r="S38" s="3"/>
      <c r="T38" s="7">
        <v>87929.424279692306</v>
      </c>
      <c r="U38" s="3"/>
      <c r="V38" s="8">
        <f t="shared" si="9"/>
        <v>8.7302730360075548E-3</v>
      </c>
      <c r="W38" s="3"/>
      <c r="X38" s="7">
        <f t="shared" si="10"/>
        <v>29600.345720307698</v>
      </c>
      <c r="Y38" s="3"/>
      <c r="Z38" s="8">
        <f t="shared" si="11"/>
        <v>0.33663754724644579</v>
      </c>
    </row>
    <row r="39" spans="1:26" s="70" customFormat="1" ht="15" hidden="1" customHeight="1" outlineLevel="2" x14ac:dyDescent="0.3">
      <c r="A39" s="26"/>
      <c r="B39" s="12" t="str">
        <f>CONCATENATE("          ","6119"," - ","SICK LEAVE")</f>
        <v xml:space="preserve">          6119 - SICK LEAVE</v>
      </c>
      <c r="C39" s="12"/>
      <c r="D39" s="7">
        <v>11874.59</v>
      </c>
      <c r="E39" s="3"/>
      <c r="F39" s="8">
        <f t="shared" si="4"/>
        <v>5.8695384277317941E-3</v>
      </c>
      <c r="G39" s="3"/>
      <c r="H39" s="7">
        <v>12707.7096366923</v>
      </c>
      <c r="I39" s="3"/>
      <c r="J39" s="8">
        <f t="shared" si="5"/>
        <v>8.6160389159139327E-3</v>
      </c>
      <c r="K39" s="3"/>
      <c r="L39" s="7">
        <f t="shared" si="6"/>
        <v>-833.11963669229954</v>
      </c>
      <c r="M39" s="3"/>
      <c r="N39" s="8">
        <f t="shared" si="7"/>
        <v>-6.5560172565380784E-2</v>
      </c>
      <c r="O39" s="12"/>
      <c r="P39" s="7">
        <v>94356.02</v>
      </c>
      <c r="Q39" s="3"/>
      <c r="R39" s="8">
        <f t="shared" si="8"/>
        <v>7.6608945637579133E-3</v>
      </c>
      <c r="S39" s="3"/>
      <c r="T39" s="7">
        <v>102632.366855692</v>
      </c>
      <c r="U39" s="3"/>
      <c r="V39" s="8">
        <f t="shared" si="9"/>
        <v>1.0190088156744824E-2</v>
      </c>
      <c r="W39" s="3"/>
      <c r="X39" s="7">
        <f t="shared" si="10"/>
        <v>-8276.3468556919979</v>
      </c>
      <c r="Y39" s="3"/>
      <c r="Z39" s="8">
        <f t="shared" si="11"/>
        <v>-8.0640709254314449E-2</v>
      </c>
    </row>
    <row r="40" spans="1:26" s="70" customFormat="1" ht="15" hidden="1" customHeight="1" outlineLevel="2" x14ac:dyDescent="0.3">
      <c r="A40" s="26"/>
      <c r="B40" s="12" t="str">
        <f>CONCATENATE("          ","6156"," - ","EMPLOYEE MEALS")</f>
        <v xml:space="preserve">          6156 - EMPLOYEE MEALS</v>
      </c>
      <c r="C40" s="12"/>
      <c r="D40" s="7">
        <v>5854.69</v>
      </c>
      <c r="E40" s="3"/>
      <c r="F40" s="8">
        <f t="shared" si="4"/>
        <v>2.8939380591209512E-3</v>
      </c>
      <c r="G40" s="3"/>
      <c r="H40" s="7">
        <v>6545</v>
      </c>
      <c r="I40" s="3"/>
      <c r="J40" s="8">
        <f t="shared" si="5"/>
        <v>4.4376190766769047E-3</v>
      </c>
      <c r="K40" s="3"/>
      <c r="L40" s="7">
        <f t="shared" si="6"/>
        <v>-690.3100000000004</v>
      </c>
      <c r="M40" s="3"/>
      <c r="N40" s="8">
        <f t="shared" si="7"/>
        <v>-0.10547135217723459</v>
      </c>
      <c r="O40" s="12"/>
      <c r="P40" s="7">
        <v>49969.62</v>
      </c>
      <c r="Q40" s="3"/>
      <c r="R40" s="8">
        <f t="shared" si="8"/>
        <v>4.0571019232376344E-3</v>
      </c>
      <c r="S40" s="3"/>
      <c r="T40" s="7">
        <v>62770</v>
      </c>
      <c r="U40" s="3"/>
      <c r="V40" s="8">
        <f t="shared" si="9"/>
        <v>6.2322623281039387E-3</v>
      </c>
      <c r="W40" s="3"/>
      <c r="X40" s="7">
        <f t="shared" si="10"/>
        <v>-12800.379999999997</v>
      </c>
      <c r="Y40" s="3"/>
      <c r="Z40" s="8">
        <f t="shared" si="11"/>
        <v>-0.20392512346662414</v>
      </c>
    </row>
    <row r="41" spans="1:26" s="69" customFormat="1" ht="15" customHeight="1" outlineLevel="1" collapsed="1" x14ac:dyDescent="0.3">
      <c r="A41" s="25"/>
      <c r="B41" s="14" t="str">
        <f>CONCATENATE("     ","*Payroll                                          ")</f>
        <v xml:space="preserve">     *Payroll                                          </v>
      </c>
      <c r="C41" s="14"/>
      <c r="D41" s="2">
        <f>SUM(OSRRefD22_1x_0)</f>
        <v>411498.98</v>
      </c>
      <c r="E41" s="2"/>
      <c r="F41" s="6">
        <f t="shared" si="4"/>
        <v>0.20340147121563243</v>
      </c>
      <c r="G41" s="2"/>
      <c r="H41" s="2">
        <f>SUM(OSRRefH22_1x_0)</f>
        <v>425241.53995730763</v>
      </c>
      <c r="I41" s="2"/>
      <c r="J41" s="6">
        <f t="shared" si="5"/>
        <v>0.2883208510175726</v>
      </c>
      <c r="K41" s="2"/>
      <c r="L41" s="2">
        <f t="shared" si="6"/>
        <v>-13742.559957307647</v>
      </c>
      <c r="M41" s="2"/>
      <c r="N41" s="6">
        <f t="shared" si="7"/>
        <v>-3.2317068456405598E-2</v>
      </c>
      <c r="O41" s="14"/>
      <c r="P41" s="2">
        <f>SUM(OSRRefP22_1x_0)</f>
        <v>3110254.4899999998</v>
      </c>
      <c r="Q41" s="2"/>
      <c r="R41" s="6">
        <f t="shared" si="8"/>
        <v>0.25252582415350538</v>
      </c>
      <c r="S41" s="2"/>
      <c r="T41" s="2">
        <f>SUM(OSRRefT22_1x_0)</f>
        <v>3393033.2831723071</v>
      </c>
      <c r="U41" s="2"/>
      <c r="V41" s="6">
        <f t="shared" si="9"/>
        <v>0.33688503279779503</v>
      </c>
      <c r="W41" s="2"/>
      <c r="X41" s="2">
        <f t="shared" si="10"/>
        <v>-282778.79317230731</v>
      </c>
      <c r="Y41" s="2"/>
      <c r="Z41" s="6">
        <f t="shared" si="11"/>
        <v>-8.3341001862476297E-2</v>
      </c>
    </row>
    <row r="42" spans="1:26" s="70" customFormat="1" ht="15" hidden="1" customHeight="1" outlineLevel="2" x14ac:dyDescent="0.3">
      <c r="A42" s="26"/>
      <c r="B42" s="12" t="str">
        <f>CONCATENATE("          ","6001"," - ","ADMINISTRATIVE SALARIES")</f>
        <v xml:space="preserve">          6001 - ADMINISTRATIVE SALARIES</v>
      </c>
      <c r="C42" s="12"/>
      <c r="D42" s="7">
        <v>22337.87</v>
      </c>
      <c r="E42" s="3"/>
      <c r="F42" s="8">
        <f t="shared" si="4"/>
        <v>1.1041474809545189E-2</v>
      </c>
      <c r="G42" s="3"/>
      <c r="H42" s="7">
        <v>12835.384615384601</v>
      </c>
      <c r="I42" s="3"/>
      <c r="J42" s="8">
        <f t="shared" si="5"/>
        <v>8.7026046792537757E-3</v>
      </c>
      <c r="K42" s="3"/>
      <c r="L42" s="7">
        <f t="shared" si="6"/>
        <v>9502.4853846153983</v>
      </c>
      <c r="M42" s="3"/>
      <c r="N42" s="8">
        <f t="shared" si="7"/>
        <v>0.74033507131727383</v>
      </c>
      <c r="O42" s="12"/>
      <c r="P42" s="7">
        <v>207211.59</v>
      </c>
      <c r="Q42" s="3"/>
      <c r="R42" s="8">
        <f t="shared" si="8"/>
        <v>1.6823792942714556E-2</v>
      </c>
      <c r="S42" s="3"/>
      <c r="T42" s="7">
        <v>112951.384615385</v>
      </c>
      <c r="U42" s="3"/>
      <c r="V42" s="8">
        <f t="shared" si="9"/>
        <v>1.1214635323333484E-2</v>
      </c>
      <c r="W42" s="3"/>
      <c r="X42" s="7">
        <f t="shared" si="10"/>
        <v>94260.205384614994</v>
      </c>
      <c r="Y42" s="3"/>
      <c r="Z42" s="8">
        <f t="shared" si="11"/>
        <v>0.83452014072765868</v>
      </c>
    </row>
    <row r="43" spans="1:26" s="70" customFormat="1" ht="15" hidden="1" customHeight="1" outlineLevel="2" x14ac:dyDescent="0.3">
      <c r="A43" s="26"/>
      <c r="B43" s="12" t="str">
        <f>CONCATENATE("          ","6002"," - ","STAFF SALARIES")</f>
        <v xml:space="preserve">          6002 - STAFF SALARIES</v>
      </c>
      <c r="C43" s="12"/>
      <c r="D43" s="7">
        <v>64469.78</v>
      </c>
      <c r="E43" s="3"/>
      <c r="F43" s="8">
        <f t="shared" si="4"/>
        <v>3.1867024557261737E-2</v>
      </c>
      <c r="G43" s="3"/>
      <c r="H43" s="7">
        <v>77521.928951922993</v>
      </c>
      <c r="I43" s="3"/>
      <c r="J43" s="8">
        <f t="shared" si="5"/>
        <v>5.2561159782711246E-2</v>
      </c>
      <c r="K43" s="3"/>
      <c r="L43" s="7">
        <f t="shared" si="6"/>
        <v>-13052.148951922994</v>
      </c>
      <c r="M43" s="3"/>
      <c r="N43" s="8">
        <f t="shared" si="7"/>
        <v>-0.16836718498087921</v>
      </c>
      <c r="O43" s="12"/>
      <c r="P43" s="7">
        <v>604123.36</v>
      </c>
      <c r="Q43" s="3"/>
      <c r="R43" s="8">
        <f t="shared" si="8"/>
        <v>4.9049603453634065E-2</v>
      </c>
      <c r="S43" s="3"/>
      <c r="T43" s="7">
        <v>648048.06527692196</v>
      </c>
      <c r="U43" s="3"/>
      <c r="V43" s="8">
        <f t="shared" si="9"/>
        <v>6.4342927258658644E-2</v>
      </c>
      <c r="W43" s="3"/>
      <c r="X43" s="7">
        <f t="shared" si="10"/>
        <v>-43924.705276921974</v>
      </c>
      <c r="Y43" s="3"/>
      <c r="Z43" s="8">
        <f t="shared" si="11"/>
        <v>-6.7780011438121027E-2</v>
      </c>
    </row>
    <row r="44" spans="1:26" s="70" customFormat="1" ht="15" hidden="1" customHeight="1" outlineLevel="2" x14ac:dyDescent="0.3">
      <c r="A44" s="26"/>
      <c r="B44" s="12" t="str">
        <f>CONCATENATE("          ","6003"," - ","STAFF HOURLY-9 MONTH")</f>
        <v xml:space="preserve">          6003 - STAFF HOURLY-9 MONTH</v>
      </c>
      <c r="C44" s="12"/>
      <c r="D44" s="7"/>
      <c r="E44" s="3"/>
      <c r="F44" s="8">
        <f t="shared" si="4"/>
        <v>0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0</v>
      </c>
      <c r="U44" s="3"/>
      <c r="V44" s="8">
        <f t="shared" si="9"/>
        <v>0</v>
      </c>
      <c r="W44" s="3"/>
      <c r="X44" s="7">
        <f t="shared" si="10"/>
        <v>0</v>
      </c>
      <c r="Y44" s="3"/>
      <c r="Z44" s="8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","6004"," - ","STAFF HOURLY")</f>
        <v xml:space="preserve">          6004 - STAFF HOURLY</v>
      </c>
      <c r="C45" s="12"/>
      <c r="D45" s="7">
        <v>127503.52</v>
      </c>
      <c r="E45" s="3"/>
      <c r="F45" s="8">
        <f t="shared" si="4"/>
        <v>6.3024223178321889E-2</v>
      </c>
      <c r="G45" s="3"/>
      <c r="H45" s="7">
        <v>143533.94344</v>
      </c>
      <c r="I45" s="3"/>
      <c r="J45" s="8">
        <f t="shared" si="5"/>
        <v>9.7318405738733058E-2</v>
      </c>
      <c r="K45" s="3"/>
      <c r="L45" s="7">
        <f t="shared" si="6"/>
        <v>-16030.423439999999</v>
      </c>
      <c r="M45" s="3"/>
      <c r="N45" s="8">
        <f t="shared" si="7"/>
        <v>-0.11168385021554869</v>
      </c>
      <c r="O45" s="12"/>
      <c r="P45" s="7">
        <v>892119.43</v>
      </c>
      <c r="Q45" s="3"/>
      <c r="R45" s="8">
        <f t="shared" si="8"/>
        <v>7.2432399029863787E-2</v>
      </c>
      <c r="S45" s="3"/>
      <c r="T45" s="7">
        <v>1218165.78088</v>
      </c>
      <c r="U45" s="3"/>
      <c r="V45" s="8">
        <f t="shared" si="9"/>
        <v>0.12094836236360906</v>
      </c>
      <c r="W45" s="3"/>
      <c r="X45" s="7">
        <f t="shared" si="10"/>
        <v>-326046.35087999993</v>
      </c>
      <c r="Y45" s="3"/>
      <c r="Z45" s="8">
        <f t="shared" si="11"/>
        <v>-0.26765351317327668</v>
      </c>
    </row>
    <row r="46" spans="1:26" s="70" customFormat="1" ht="15" hidden="1" customHeight="1" outlineLevel="2" x14ac:dyDescent="0.3">
      <c r="A46" s="26"/>
      <c r="B46" s="12" t="str">
        <f>CONCATENATE("          ","6005"," - ","TEMPORARY WAGES-HOURLY")</f>
        <v xml:space="preserve">          6005 - TEMPORARY WAGES-HOURLY</v>
      </c>
      <c r="C46" s="12"/>
      <c r="D46" s="7">
        <v>61801.19</v>
      </c>
      <c r="E46" s="3"/>
      <c r="F46" s="8">
        <f t="shared" si="4"/>
        <v>3.05479565681471E-2</v>
      </c>
      <c r="G46" s="3"/>
      <c r="H46" s="7">
        <v>38447.7736</v>
      </c>
      <c r="I46" s="3"/>
      <c r="J46" s="8">
        <f t="shared" si="5"/>
        <v>2.6068231257924322E-2</v>
      </c>
      <c r="K46" s="3"/>
      <c r="L46" s="7">
        <f t="shared" si="6"/>
        <v>23353.416400000002</v>
      </c>
      <c r="M46" s="3"/>
      <c r="N46" s="8">
        <f t="shared" si="7"/>
        <v>0.60740620882141283</v>
      </c>
      <c r="O46" s="12"/>
      <c r="P46" s="7">
        <v>488567.51</v>
      </c>
      <c r="Q46" s="3"/>
      <c r="R46" s="8">
        <f t="shared" si="8"/>
        <v>3.9667465641172017E-2</v>
      </c>
      <c r="S46" s="3"/>
      <c r="T46" s="7">
        <v>314881.21084999997</v>
      </c>
      <c r="U46" s="3"/>
      <c r="V46" s="8">
        <f t="shared" si="9"/>
        <v>3.1263697757020995E-2</v>
      </c>
      <c r="W46" s="3"/>
      <c r="X46" s="7">
        <f t="shared" si="10"/>
        <v>173686.29915000004</v>
      </c>
      <c r="Y46" s="3"/>
      <c r="Z46" s="8">
        <f t="shared" si="11"/>
        <v>0.55159308706018351</v>
      </c>
    </row>
    <row r="47" spans="1:26" s="70" customFormat="1" ht="15" hidden="1" customHeight="1" outlineLevel="2" x14ac:dyDescent="0.3">
      <c r="A47" s="26"/>
      <c r="B47" s="12" t="str">
        <f>CONCATENATE("          ","6006"," - ","TEMPORARY PART TIME")</f>
        <v xml:space="preserve">          6006 - TEMPORARY PART TIME</v>
      </c>
      <c r="C47" s="12"/>
      <c r="D47" s="7">
        <v>3639.92</v>
      </c>
      <c r="E47" s="3"/>
      <c r="F47" s="8">
        <f t="shared" si="4"/>
        <v>1.7991905669054267E-3</v>
      </c>
      <c r="G47" s="3"/>
      <c r="H47" s="7">
        <v>0</v>
      </c>
      <c r="I47" s="3"/>
      <c r="J47" s="8">
        <f t="shared" si="5"/>
        <v>0</v>
      </c>
      <c r="K47" s="3"/>
      <c r="L47" s="7">
        <f t="shared" si="6"/>
        <v>3639.92</v>
      </c>
      <c r="M47" s="3"/>
      <c r="N47" s="8">
        <f t="shared" si="7"/>
        <v>0</v>
      </c>
      <c r="O47" s="12"/>
      <c r="P47" s="7">
        <v>7203.72</v>
      </c>
      <c r="Q47" s="3"/>
      <c r="R47" s="8">
        <f t="shared" si="8"/>
        <v>5.8487989835554908E-4</v>
      </c>
      <c r="S47" s="3"/>
      <c r="T47" s="7">
        <v>0</v>
      </c>
      <c r="U47" s="3"/>
      <c r="V47" s="8">
        <f t="shared" si="9"/>
        <v>0</v>
      </c>
      <c r="W47" s="3"/>
      <c r="X47" s="7">
        <f t="shared" si="10"/>
        <v>7203.72</v>
      </c>
      <c r="Y47" s="3"/>
      <c r="Z47" s="8">
        <f t="shared" si="11"/>
        <v>0</v>
      </c>
    </row>
    <row r="48" spans="1:26" s="70" customFormat="1" ht="15" hidden="1" customHeight="1" outlineLevel="2" x14ac:dyDescent="0.3">
      <c r="A48" s="26"/>
      <c r="B48" s="12" t="str">
        <f>CONCATENATE("          ","6007"," - ","STUDENT HOURLY")</f>
        <v xml:space="preserve">          6007 - STUDENT HOURLY</v>
      </c>
      <c r="C48" s="12"/>
      <c r="D48" s="7">
        <v>72375.240000000005</v>
      </c>
      <c r="E48" s="3"/>
      <c r="F48" s="8">
        <f t="shared" si="4"/>
        <v>3.5774645894831841E-2</v>
      </c>
      <c r="G48" s="3"/>
      <c r="H48" s="7">
        <v>1415.6956</v>
      </c>
      <c r="I48" s="3"/>
      <c r="J48" s="8">
        <f t="shared" si="5"/>
        <v>9.5986521028686882E-4</v>
      </c>
      <c r="K48" s="3"/>
      <c r="L48" s="7">
        <f t="shared" si="6"/>
        <v>70959.544399999999</v>
      </c>
      <c r="M48" s="3"/>
      <c r="N48" s="8">
        <f t="shared" si="7"/>
        <v>50.123447724214159</v>
      </c>
      <c r="O48" s="12"/>
      <c r="P48" s="7">
        <v>681262.77</v>
      </c>
      <c r="Q48" s="3"/>
      <c r="R48" s="8">
        <f t="shared" si="8"/>
        <v>5.5312657858859006E-2</v>
      </c>
      <c r="S48" s="3"/>
      <c r="T48" s="7">
        <v>59818.542399999998</v>
      </c>
      <c r="U48" s="3"/>
      <c r="V48" s="8">
        <f t="shared" si="9"/>
        <v>5.9392201421317216E-3</v>
      </c>
      <c r="W48" s="3"/>
      <c r="X48" s="7">
        <f t="shared" si="10"/>
        <v>621444.22759999998</v>
      </c>
      <c r="Y48" s="3"/>
      <c r="Z48" s="8">
        <f t="shared" si="11"/>
        <v>10.388822640385834</v>
      </c>
    </row>
    <row r="49" spans="1:26" s="70" customFormat="1" ht="15" hidden="1" customHeight="1" outlineLevel="2" x14ac:dyDescent="0.3">
      <c r="A49" s="26"/>
      <c r="B49" s="12" t="str">
        <f>CONCATENATE("          ","6008"," - ","STUDENT HOURLY-FICA EXEMPT")</f>
        <v xml:space="preserve">          6008 - STUDENT HOURLY-FICA EXEMPT</v>
      </c>
      <c r="C49" s="12"/>
      <c r="D49" s="7">
        <v>59371.46</v>
      </c>
      <c r="E49" s="3"/>
      <c r="F49" s="8">
        <f t="shared" si="4"/>
        <v>2.9346955640619263E-2</v>
      </c>
      <c r="G49" s="3"/>
      <c r="H49" s="7">
        <v>151486.81375</v>
      </c>
      <c r="I49" s="3"/>
      <c r="J49" s="8">
        <f t="shared" si="5"/>
        <v>0.10271058434866329</v>
      </c>
      <c r="K49" s="3"/>
      <c r="L49" s="7">
        <f t="shared" si="6"/>
        <v>-92115.353750000009</v>
      </c>
      <c r="M49" s="3"/>
      <c r="N49" s="8">
        <f t="shared" si="7"/>
        <v>-0.60807506257289679</v>
      </c>
      <c r="O49" s="12"/>
      <c r="P49" s="7">
        <v>229766.11</v>
      </c>
      <c r="Q49" s="3"/>
      <c r="R49" s="8">
        <f t="shared" si="8"/>
        <v>1.8655025328906439E-2</v>
      </c>
      <c r="S49" s="3"/>
      <c r="T49" s="7">
        <v>1039168.29915</v>
      </c>
      <c r="U49" s="3"/>
      <c r="V49" s="8">
        <f t="shared" si="9"/>
        <v>0.10317618995304109</v>
      </c>
      <c r="W49" s="3"/>
      <c r="X49" s="7">
        <f t="shared" si="10"/>
        <v>-809402.18914999999</v>
      </c>
      <c r="Y49" s="3"/>
      <c r="Z49" s="8">
        <f t="shared" si="11"/>
        <v>-0.77889422705836975</v>
      </c>
    </row>
    <row r="50" spans="1:26" s="70" customFormat="1" ht="15" hidden="1" customHeight="1" outlineLevel="2" x14ac:dyDescent="0.3">
      <c r="A50" s="26"/>
      <c r="B50" s="12" t="str">
        <f>CONCATENATE("          ","6009"," - ","TEMPORARY-SEASONAL")</f>
        <v xml:space="preserve">          6009 - TEMPORARY-SEASONAL</v>
      </c>
      <c r="C50" s="12"/>
      <c r="D50" s="7"/>
      <c r="E50" s="3"/>
      <c r="F50" s="8">
        <f t="shared" si="4"/>
        <v>0</v>
      </c>
      <c r="G50" s="3"/>
      <c r="H50" s="7">
        <v>0</v>
      </c>
      <c r="I50" s="3"/>
      <c r="J50" s="8">
        <f t="shared" si="5"/>
        <v>0</v>
      </c>
      <c r="K50" s="3"/>
      <c r="L50" s="7">
        <f t="shared" si="6"/>
        <v>0</v>
      </c>
      <c r="M50" s="3"/>
      <c r="N50" s="8">
        <f t="shared" si="7"/>
        <v>0</v>
      </c>
      <c r="O50" s="12"/>
      <c r="P50" s="7"/>
      <c r="Q50" s="3"/>
      <c r="R50" s="8">
        <f t="shared" si="8"/>
        <v>0</v>
      </c>
      <c r="S50" s="3"/>
      <c r="T50" s="7">
        <v>0</v>
      </c>
      <c r="U50" s="3"/>
      <c r="V50" s="8">
        <f t="shared" si="9"/>
        <v>0</v>
      </c>
      <c r="W50" s="3"/>
      <c r="X50" s="7">
        <f t="shared" si="10"/>
        <v>0</v>
      </c>
      <c r="Y50" s="3"/>
      <c r="Z50" s="8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","6010"," - ","GRATUITY")</f>
        <v xml:space="preserve">          6010 - GRATUITY</v>
      </c>
      <c r="C51" s="12"/>
      <c r="D51" s="7"/>
      <c r="E51" s="3"/>
      <c r="F51" s="8">
        <f t="shared" si="4"/>
        <v>0</v>
      </c>
      <c r="G51" s="3"/>
      <c r="H51" s="7">
        <v>0</v>
      </c>
      <c r="I51" s="3"/>
      <c r="J51" s="8">
        <f t="shared" si="5"/>
        <v>0</v>
      </c>
      <c r="K51" s="3"/>
      <c r="L51" s="7">
        <f t="shared" si="6"/>
        <v>0</v>
      </c>
      <c r="M51" s="3"/>
      <c r="N51" s="8">
        <f t="shared" si="7"/>
        <v>0</v>
      </c>
      <c r="O51" s="12"/>
      <c r="P51" s="7"/>
      <c r="Q51" s="3"/>
      <c r="R51" s="8">
        <f t="shared" si="8"/>
        <v>0</v>
      </c>
      <c r="S51" s="3"/>
      <c r="T51" s="7">
        <v>0</v>
      </c>
      <c r="U51" s="3"/>
      <c r="V51" s="8">
        <f t="shared" si="9"/>
        <v>0</v>
      </c>
      <c r="W51" s="3"/>
      <c r="X51" s="7">
        <f t="shared" si="10"/>
        <v>0</v>
      </c>
      <c r="Y51" s="3"/>
      <c r="Z51" s="8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","Advertising/Promo                                 ")</f>
        <v xml:space="preserve">     Advertising/Promo                                 </v>
      </c>
      <c r="C52" s="14"/>
      <c r="D52" s="2">
        <f>SUM(OSRRefD22_2x_0)</f>
        <v>811.15</v>
      </c>
      <c r="E52" s="2"/>
      <c r="F52" s="6">
        <f t="shared" si="4"/>
        <v>4.009465670523904E-4</v>
      </c>
      <c r="G52" s="2"/>
      <c r="H52" s="2">
        <f>SUM(OSRRefH22_2x_0)</f>
        <v>1319</v>
      </c>
      <c r="I52" s="2"/>
      <c r="J52" s="6">
        <f t="shared" si="5"/>
        <v>8.943039819918774E-4</v>
      </c>
      <c r="K52" s="2"/>
      <c r="L52" s="2">
        <f t="shared" si="6"/>
        <v>-507.85</v>
      </c>
      <c r="M52" s="2"/>
      <c r="N52" s="6">
        <f t="shared" si="7"/>
        <v>-0.38502653525398028</v>
      </c>
      <c r="O52" s="14"/>
      <c r="P52" s="2">
        <f>SUM(OSRRefP22_2x_0)</f>
        <v>5979.42</v>
      </c>
      <c r="Q52" s="2"/>
      <c r="R52" s="6">
        <f t="shared" si="8"/>
        <v>4.8547730364660721E-4</v>
      </c>
      <c r="S52" s="2"/>
      <c r="T52" s="2">
        <f>SUM(OSRRefT22_2x_0)</f>
        <v>13190</v>
      </c>
      <c r="U52" s="2"/>
      <c r="V52" s="6">
        <f t="shared" si="9"/>
        <v>1.3095991732944233E-3</v>
      </c>
      <c r="W52" s="2"/>
      <c r="X52" s="2">
        <f t="shared" si="10"/>
        <v>-7210.58</v>
      </c>
      <c r="Y52" s="2"/>
      <c r="Z52" s="6">
        <f t="shared" si="11"/>
        <v>-0.54667020470053074</v>
      </c>
    </row>
    <row r="53" spans="1:26" s="70" customFormat="1" ht="15" hidden="1" customHeight="1" outlineLevel="2" x14ac:dyDescent="0.3">
      <c r="A53" s="26"/>
      <c r="B53" s="12" t="str">
        <f>CONCATENATE("          ","6362"," - ","ADVERTISING EXPENSE")</f>
        <v xml:space="preserve">          6362 - ADVERTISING EXPENSE</v>
      </c>
      <c r="C53" s="12"/>
      <c r="D53" s="7">
        <v>811.15</v>
      </c>
      <c r="E53" s="3"/>
      <c r="F53" s="8">
        <f t="shared" si="4"/>
        <v>4.009465670523904E-4</v>
      </c>
      <c r="G53" s="3"/>
      <c r="H53" s="7">
        <v>1319</v>
      </c>
      <c r="I53" s="3"/>
      <c r="J53" s="8">
        <f t="shared" si="5"/>
        <v>8.943039819918774E-4</v>
      </c>
      <c r="K53" s="3"/>
      <c r="L53" s="7">
        <f t="shared" si="6"/>
        <v>-507.85</v>
      </c>
      <c r="M53" s="3"/>
      <c r="N53" s="8">
        <f t="shared" si="7"/>
        <v>-0.38502653525398028</v>
      </c>
      <c r="O53" s="12"/>
      <c r="P53" s="7">
        <v>5979.42</v>
      </c>
      <c r="Q53" s="3"/>
      <c r="R53" s="8">
        <f t="shared" si="8"/>
        <v>4.8547730364660721E-4</v>
      </c>
      <c r="S53" s="3"/>
      <c r="T53" s="7">
        <v>13190</v>
      </c>
      <c r="U53" s="3"/>
      <c r="V53" s="8">
        <f t="shared" si="9"/>
        <v>1.3095991732944233E-3</v>
      </c>
      <c r="W53" s="3"/>
      <c r="X53" s="7">
        <f t="shared" si="10"/>
        <v>-7210.58</v>
      </c>
      <c r="Y53" s="3"/>
      <c r="Z53" s="8">
        <f t="shared" si="11"/>
        <v>-0.54667020470053074</v>
      </c>
    </row>
    <row r="54" spans="1:26" s="69" customFormat="1" ht="15" customHeight="1" outlineLevel="1" collapsed="1" x14ac:dyDescent="0.3">
      <c r="A54" s="25"/>
      <c r="B54" s="14" t="str">
        <f>CONCATENATE("     ","Bad Debts/Over/Short                              ")</f>
        <v xml:space="preserve">     Bad Debts/Over/Short                              </v>
      </c>
      <c r="C54" s="14"/>
      <c r="D54" s="2">
        <f>SUM(OSRRefD22_3x_0)</f>
        <v>10</v>
      </c>
      <c r="E54" s="2"/>
      <c r="F54" s="6">
        <f t="shared" si="4"/>
        <v>4.9429398638031245E-6</v>
      </c>
      <c r="G54" s="2"/>
      <c r="H54" s="2">
        <f>SUM(OSRRefH22_3x_0)</f>
        <v>43</v>
      </c>
      <c r="I54" s="2"/>
      <c r="J54" s="6">
        <f t="shared" si="5"/>
        <v>2.9154716622934593E-5</v>
      </c>
      <c r="K54" s="2"/>
      <c r="L54" s="2">
        <f t="shared" si="6"/>
        <v>-33</v>
      </c>
      <c r="M54" s="2"/>
      <c r="N54" s="6">
        <f t="shared" si="7"/>
        <v>-0.76744186046511631</v>
      </c>
      <c r="O54" s="14"/>
      <c r="P54" s="2">
        <f>SUM(OSRRefP22_3x_0)</f>
        <v>-34.72</v>
      </c>
      <c r="Q54" s="2"/>
      <c r="R54" s="6">
        <f t="shared" si="8"/>
        <v>-2.8189643782524393E-6</v>
      </c>
      <c r="S54" s="2"/>
      <c r="T54" s="2">
        <f>SUM(OSRRefT22_3x_0)</f>
        <v>382</v>
      </c>
      <c r="U54" s="2"/>
      <c r="V54" s="6">
        <f t="shared" si="9"/>
        <v>3.7927739514667911E-5</v>
      </c>
      <c r="W54" s="2"/>
      <c r="X54" s="2">
        <f t="shared" si="10"/>
        <v>-416.72</v>
      </c>
      <c r="Y54" s="2"/>
      <c r="Z54" s="6">
        <f t="shared" si="11"/>
        <v>-1.090890052356021</v>
      </c>
    </row>
    <row r="55" spans="1:26" s="70" customFormat="1" ht="15" hidden="1" customHeight="1" outlineLevel="2" x14ac:dyDescent="0.3">
      <c r="A55" s="26"/>
      <c r="B55" s="12" t="str">
        <f>CONCATENATE("          ","6272"," - ","CASH (OVER/SHORT)")</f>
        <v xml:space="preserve">          6272 - CASH (OVER/SHORT)</v>
      </c>
      <c r="C55" s="12"/>
      <c r="D55" s="7">
        <v>10</v>
      </c>
      <c r="E55" s="3"/>
      <c r="F55" s="8">
        <f t="shared" si="4"/>
        <v>4.9429398638031245E-6</v>
      </c>
      <c r="G55" s="3"/>
      <c r="H55" s="7">
        <v>43</v>
      </c>
      <c r="I55" s="3"/>
      <c r="J55" s="8">
        <f t="shared" si="5"/>
        <v>2.9154716622934593E-5</v>
      </c>
      <c r="K55" s="3"/>
      <c r="L55" s="7">
        <f t="shared" si="6"/>
        <v>-33</v>
      </c>
      <c r="M55" s="3"/>
      <c r="N55" s="8">
        <f t="shared" si="7"/>
        <v>-0.76744186046511631</v>
      </c>
      <c r="O55" s="12"/>
      <c r="P55" s="7">
        <v>-34.72</v>
      </c>
      <c r="Q55" s="3"/>
      <c r="R55" s="8">
        <f t="shared" si="8"/>
        <v>-2.8189643782524393E-6</v>
      </c>
      <c r="S55" s="3"/>
      <c r="T55" s="7">
        <v>382</v>
      </c>
      <c r="U55" s="3"/>
      <c r="V55" s="8">
        <f t="shared" si="9"/>
        <v>3.7927739514667911E-5</v>
      </c>
      <c r="W55" s="3"/>
      <c r="X55" s="7">
        <f t="shared" si="10"/>
        <v>-416.72</v>
      </c>
      <c r="Y55" s="3"/>
      <c r="Z55" s="8">
        <f t="shared" si="11"/>
        <v>-1.090890052356021</v>
      </c>
    </row>
    <row r="56" spans="1:26" s="69" customFormat="1" ht="15" customHeight="1" outlineLevel="1" collapsed="1" x14ac:dyDescent="0.3">
      <c r="A56" s="25"/>
      <c r="B56" s="14" t="str">
        <f>CONCATENATE("     ","Bank/card Fees                                    ")</f>
        <v xml:space="preserve">     Bank/card Fees                                    </v>
      </c>
      <c r="C56" s="14"/>
      <c r="D56" s="2">
        <f>SUM(OSRRefD22_4x_0)</f>
        <v>7250.43</v>
      </c>
      <c r="E56" s="2"/>
      <c r="F56" s="6">
        <f t="shared" si="4"/>
        <v>3.5838439476714085E-3</v>
      </c>
      <c r="G56" s="2"/>
      <c r="H56" s="2">
        <f>SUM(OSRRefH22_4x_0)</f>
        <v>17780</v>
      </c>
      <c r="I56" s="2"/>
      <c r="J56" s="6">
        <f t="shared" si="5"/>
        <v>1.2055136315250629E-2</v>
      </c>
      <c r="K56" s="2"/>
      <c r="L56" s="2">
        <f t="shared" si="6"/>
        <v>-10529.57</v>
      </c>
      <c r="M56" s="2"/>
      <c r="N56" s="6">
        <f t="shared" si="7"/>
        <v>-0.59221428571428569</v>
      </c>
      <c r="O56" s="14"/>
      <c r="P56" s="2">
        <f>SUM(OSRRefP22_4x_0)</f>
        <v>47419.22</v>
      </c>
      <c r="Q56" s="2"/>
      <c r="R56" s="6">
        <f t="shared" si="8"/>
        <v>3.8500314523189989E-3</v>
      </c>
      <c r="S56" s="2"/>
      <c r="T56" s="2">
        <f>SUM(OSRRefT22_4x_0)</f>
        <v>89747</v>
      </c>
      <c r="U56" s="2"/>
      <c r="V56" s="6">
        <f t="shared" si="9"/>
        <v>8.9107351785939811E-3</v>
      </c>
      <c r="W56" s="2"/>
      <c r="X56" s="2">
        <f t="shared" si="10"/>
        <v>-42327.78</v>
      </c>
      <c r="Y56" s="2"/>
      <c r="Z56" s="6">
        <f t="shared" si="11"/>
        <v>-0.47163448360390875</v>
      </c>
    </row>
    <row r="57" spans="1:26" s="70" customFormat="1" ht="15" hidden="1" customHeight="1" outlineLevel="2" x14ac:dyDescent="0.3">
      <c r="A57" s="26"/>
      <c r="B57" s="12" t="str">
        <f>CONCATENATE("          ","6381"," - ","BANK/CREDIT CARD FEES")</f>
        <v xml:space="preserve">          6381 - BANK/CREDIT CARD FEES</v>
      </c>
      <c r="C57" s="12"/>
      <c r="D57" s="7">
        <v>7250.43</v>
      </c>
      <c r="E57" s="3"/>
      <c r="F57" s="8">
        <f t="shared" si="4"/>
        <v>3.5838439476714085E-3</v>
      </c>
      <c r="G57" s="3"/>
      <c r="H57" s="7">
        <v>17780</v>
      </c>
      <c r="I57" s="3"/>
      <c r="J57" s="8">
        <f t="shared" si="5"/>
        <v>1.2055136315250629E-2</v>
      </c>
      <c r="K57" s="3"/>
      <c r="L57" s="7">
        <f t="shared" si="6"/>
        <v>-10529.57</v>
      </c>
      <c r="M57" s="3"/>
      <c r="N57" s="8">
        <f t="shared" si="7"/>
        <v>-0.59221428571428569</v>
      </c>
      <c r="O57" s="12"/>
      <c r="P57" s="7">
        <v>47419.22</v>
      </c>
      <c r="Q57" s="3"/>
      <c r="R57" s="8">
        <f t="shared" si="8"/>
        <v>3.8500314523189989E-3</v>
      </c>
      <c r="S57" s="3"/>
      <c r="T57" s="7">
        <v>89747</v>
      </c>
      <c r="U57" s="3"/>
      <c r="V57" s="8">
        <f t="shared" si="9"/>
        <v>8.9107351785939811E-3</v>
      </c>
      <c r="W57" s="3"/>
      <c r="X57" s="7">
        <f t="shared" si="10"/>
        <v>-42327.78</v>
      </c>
      <c r="Y57" s="3"/>
      <c r="Z57" s="8">
        <f t="shared" si="11"/>
        <v>-0.47163448360390875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SUM(OSRRefD22_5x_0)</f>
        <v>36837.760000000002</v>
      </c>
      <c r="E58" s="2"/>
      <c r="F58" s="6">
        <f t="shared" si="4"/>
        <v>1.8208683239721218E-2</v>
      </c>
      <c r="G58" s="2"/>
      <c r="H58" s="2">
        <f>SUM(OSRRefH22_5x_0)</f>
        <v>32694</v>
      </c>
      <c r="I58" s="2"/>
      <c r="J58" s="6">
        <f t="shared" si="5"/>
        <v>2.2167076866749385E-2</v>
      </c>
      <c r="K58" s="2"/>
      <c r="L58" s="2">
        <f t="shared" si="6"/>
        <v>4143.760000000002</v>
      </c>
      <c r="M58" s="2"/>
      <c r="N58" s="6">
        <f t="shared" si="7"/>
        <v>0.12674374502966912</v>
      </c>
      <c r="O58" s="14"/>
      <c r="P58" s="2">
        <f>SUM(OSRRefP22_5x_0)</f>
        <v>338229.82</v>
      </c>
      <c r="Q58" s="2"/>
      <c r="R58" s="6">
        <f t="shared" si="8"/>
        <v>2.7461342576115627E-2</v>
      </c>
      <c r="S58" s="2"/>
      <c r="T58" s="2">
        <f>SUM(OSRRefT22_5x_0)</f>
        <v>331628</v>
      </c>
      <c r="U58" s="2"/>
      <c r="V58" s="6">
        <f t="shared" si="9"/>
        <v>3.2926440837094999E-2</v>
      </c>
      <c r="W58" s="2"/>
      <c r="X58" s="2">
        <f t="shared" si="10"/>
        <v>6601.820000000007</v>
      </c>
      <c r="Y58" s="2"/>
      <c r="Z58" s="6">
        <f t="shared" si="11"/>
        <v>1.9907305776351837E-2</v>
      </c>
    </row>
    <row r="59" spans="1:26" s="70" customFormat="1" ht="15" hidden="1" customHeight="1" outlineLevel="2" x14ac:dyDescent="0.3">
      <c r="A59" s="26"/>
      <c r="B59" s="12" t="str">
        <f>CONCATENATE("          ","6321"," - ","BUILDING DEPRECIATION")</f>
        <v xml:space="preserve">          6321 - BUILDING DEPRECIATION</v>
      </c>
      <c r="C59" s="12"/>
      <c r="D59" s="7">
        <v>23539.4</v>
      </c>
      <c r="E59" s="3"/>
      <c r="F59" s="8">
        <f t="shared" si="4"/>
        <v>1.1635383863000727E-2</v>
      </c>
      <c r="G59" s="3"/>
      <c r="H59" s="7"/>
      <c r="I59" s="3"/>
      <c r="J59" s="8">
        <f t="shared" si="5"/>
        <v>0</v>
      </c>
      <c r="K59" s="3"/>
      <c r="L59" s="7">
        <f t="shared" si="6"/>
        <v>23539.4</v>
      </c>
      <c r="M59" s="3"/>
      <c r="N59" s="8">
        <f t="shared" si="7"/>
        <v>0</v>
      </c>
      <c r="O59" s="12"/>
      <c r="P59" s="7">
        <v>235482.14</v>
      </c>
      <c r="Q59" s="3"/>
      <c r="R59" s="8">
        <f t="shared" si="8"/>
        <v>1.9119117637518834E-2</v>
      </c>
      <c r="S59" s="3"/>
      <c r="T59" s="7"/>
      <c r="U59" s="3"/>
      <c r="V59" s="8">
        <f t="shared" si="9"/>
        <v>0</v>
      </c>
      <c r="W59" s="3"/>
      <c r="X59" s="7">
        <f t="shared" si="10"/>
        <v>235482.14</v>
      </c>
      <c r="Y59" s="3"/>
      <c r="Z59" s="8">
        <f t="shared" si="11"/>
        <v>0</v>
      </c>
    </row>
    <row r="60" spans="1:26" s="70" customFormat="1" ht="15" hidden="1" customHeight="1" outlineLevel="2" x14ac:dyDescent="0.3">
      <c r="A60" s="26"/>
      <c r="B60" s="12" t="str">
        <f>CONCATENATE("          ","6322"," - ","EQUIPMENT DEPRECIATION EXPENSE")</f>
        <v xml:space="preserve">          6322 - EQUIPMENT DEPRECIATION EXPENSE</v>
      </c>
      <c r="C60" s="12"/>
      <c r="D60" s="7">
        <v>13298.36</v>
      </c>
      <c r="E60" s="3"/>
      <c r="F60" s="8">
        <f t="shared" si="4"/>
        <v>6.5732993767204919E-3</v>
      </c>
      <c r="G60" s="3"/>
      <c r="H60" s="7">
        <v>32694</v>
      </c>
      <c r="I60" s="3"/>
      <c r="J60" s="8">
        <f t="shared" si="5"/>
        <v>2.2167076866749385E-2</v>
      </c>
      <c r="K60" s="3"/>
      <c r="L60" s="7">
        <f t="shared" si="6"/>
        <v>-19395.64</v>
      </c>
      <c r="M60" s="3"/>
      <c r="N60" s="8">
        <f t="shared" si="7"/>
        <v>-0.59324769070777505</v>
      </c>
      <c r="O60" s="12"/>
      <c r="P60" s="7">
        <v>102747.68</v>
      </c>
      <c r="Q60" s="3"/>
      <c r="R60" s="8">
        <f t="shared" si="8"/>
        <v>8.3422249385967911E-3</v>
      </c>
      <c r="S60" s="3"/>
      <c r="T60" s="7">
        <v>331628</v>
      </c>
      <c r="U60" s="3"/>
      <c r="V60" s="8">
        <f t="shared" si="9"/>
        <v>3.2926440837094999E-2</v>
      </c>
      <c r="W60" s="3"/>
      <c r="X60" s="7">
        <f t="shared" si="10"/>
        <v>-228880.32</v>
      </c>
      <c r="Y60" s="3"/>
      <c r="Z60" s="8">
        <f t="shared" si="11"/>
        <v>-0.69017187933467627</v>
      </c>
    </row>
    <row r="61" spans="1:26" s="69" customFormat="1" ht="15" customHeight="1" outlineLevel="1" collapsed="1" x14ac:dyDescent="0.3">
      <c r="A61" s="25"/>
      <c r="B61" s="14" t="str">
        <f>CONCATENATE("     ","Donations                                         ")</f>
        <v xml:space="preserve">     Donations                                         </v>
      </c>
      <c r="C61" s="14"/>
      <c r="D61" s="2">
        <f>SUM(OSRRefD22_6x_0)</f>
        <v>9656.14</v>
      </c>
      <c r="E61" s="2"/>
      <c r="F61" s="6">
        <f t="shared" ref="F61:F92" si="12">IF(D$12=0,0,D61/D$12)</f>
        <v>4.7729719336463894E-3</v>
      </c>
      <c r="G61" s="2"/>
      <c r="H61" s="2">
        <f>SUM(OSRRefH22_6x_0)</f>
        <v>15500</v>
      </c>
      <c r="I61" s="2"/>
      <c r="J61" s="6">
        <f t="shared" ref="J61:J92" si="13">IF(H$12=0,0,H61/H$12)</f>
        <v>1.0509258317569445E-2</v>
      </c>
      <c r="K61" s="2"/>
      <c r="L61" s="2">
        <f t="shared" ref="L61:L92" si="14">+D61-H61</f>
        <v>-5843.8600000000006</v>
      </c>
      <c r="M61" s="2"/>
      <c r="N61" s="6">
        <f t="shared" ref="N61:N92" si="15">IF(H61=0,0,L61/H61)</f>
        <v>-0.37702322580645165</v>
      </c>
      <c r="O61" s="14"/>
      <c r="P61" s="2">
        <f>SUM(OSRRefP22_6x_0)</f>
        <v>66691.27</v>
      </c>
      <c r="Q61" s="2"/>
      <c r="R61" s="6">
        <f t="shared" ref="R61:R92" si="16">IF(P$12=0,0,P61/P$12)</f>
        <v>5.4147556011064392E-3</v>
      </c>
      <c r="S61" s="2"/>
      <c r="T61" s="2">
        <f>SUM(OSRRefT22_6x_0)</f>
        <v>139500</v>
      </c>
      <c r="U61" s="2"/>
      <c r="V61" s="6">
        <f t="shared" ref="V61:V92" si="17">IF(T$12=0,0,T61/T$12)</f>
        <v>1.3850575032188934E-2</v>
      </c>
      <c r="W61" s="2"/>
      <c r="X61" s="2">
        <f t="shared" ref="X61:X92" si="18">+P61-T61</f>
        <v>-72808.73</v>
      </c>
      <c r="Y61" s="2"/>
      <c r="Z61" s="6">
        <f t="shared" ref="Z61:Z92" si="19">IF(T61=0,0,X61/T61)</f>
        <v>-0.52192637992831536</v>
      </c>
    </row>
    <row r="62" spans="1:26" s="70" customFormat="1" ht="15" hidden="1" customHeight="1" outlineLevel="2" x14ac:dyDescent="0.3">
      <c r="A62" s="26"/>
      <c r="B62" s="12" t="str">
        <f>CONCATENATE("          ","6399"," - ","DONATION-ON CAMPUS")</f>
        <v xml:space="preserve">          6399 - DONATION-ON CAMPUS</v>
      </c>
      <c r="C62" s="12"/>
      <c r="D62" s="7">
        <v>9656.14</v>
      </c>
      <c r="E62" s="3"/>
      <c r="F62" s="8">
        <f t="shared" si="12"/>
        <v>4.7729719336463894E-3</v>
      </c>
      <c r="G62" s="3"/>
      <c r="H62" s="7">
        <v>15500</v>
      </c>
      <c r="I62" s="3"/>
      <c r="J62" s="8">
        <f t="shared" si="13"/>
        <v>1.0509258317569445E-2</v>
      </c>
      <c r="K62" s="3"/>
      <c r="L62" s="7">
        <f t="shared" si="14"/>
        <v>-5843.8600000000006</v>
      </c>
      <c r="M62" s="3"/>
      <c r="N62" s="8">
        <f t="shared" si="15"/>
        <v>-0.37702322580645165</v>
      </c>
      <c r="O62" s="12"/>
      <c r="P62" s="7">
        <v>66691.27</v>
      </c>
      <c r="Q62" s="3"/>
      <c r="R62" s="8">
        <f t="shared" si="16"/>
        <v>5.4147556011064392E-3</v>
      </c>
      <c r="S62" s="3"/>
      <c r="T62" s="7">
        <v>139500</v>
      </c>
      <c r="U62" s="3"/>
      <c r="V62" s="8">
        <f t="shared" si="17"/>
        <v>1.3850575032188934E-2</v>
      </c>
      <c r="W62" s="3"/>
      <c r="X62" s="7">
        <f t="shared" si="18"/>
        <v>-72808.73</v>
      </c>
      <c r="Y62" s="3"/>
      <c r="Z62" s="8">
        <f t="shared" si="19"/>
        <v>-0.52192637992831536</v>
      </c>
    </row>
    <row r="63" spans="1:26" s="69" customFormat="1" ht="15" customHeight="1" outlineLevel="1" collapsed="1" x14ac:dyDescent="0.3">
      <c r="A63" s="25"/>
      <c r="B63" s="14" t="str">
        <f>CONCATENATE("     ","Employees' Appreciation                           ")</f>
        <v xml:space="preserve">     Employees' Appreciation                           </v>
      </c>
      <c r="C63" s="14"/>
      <c r="D63" s="2">
        <f>SUM(OSRRefD22_7x_0)</f>
        <v>61.45</v>
      </c>
      <c r="E63" s="2"/>
      <c r="F63" s="6">
        <f t="shared" si="12"/>
        <v>3.0374365463070198E-5</v>
      </c>
      <c r="G63" s="2"/>
      <c r="H63" s="2">
        <f>SUM(OSRRefH22_7x_0)</f>
        <v>220</v>
      </c>
      <c r="I63" s="2"/>
      <c r="J63" s="6">
        <f t="shared" si="13"/>
        <v>1.4916366644292118E-4</v>
      </c>
      <c r="K63" s="2"/>
      <c r="L63" s="2">
        <f t="shared" si="14"/>
        <v>-158.55000000000001</v>
      </c>
      <c r="M63" s="2"/>
      <c r="N63" s="6">
        <f t="shared" si="15"/>
        <v>-0.7206818181818182</v>
      </c>
      <c r="O63" s="14"/>
      <c r="P63" s="2">
        <f>SUM(OSRRefP22_7x_0)</f>
        <v>702.03</v>
      </c>
      <c r="Q63" s="2"/>
      <c r="R63" s="6">
        <f t="shared" si="16"/>
        <v>5.6998777720753458E-5</v>
      </c>
      <c r="S63" s="2"/>
      <c r="T63" s="2">
        <f>SUM(OSRRefT22_7x_0)</f>
        <v>2790</v>
      </c>
      <c r="U63" s="2"/>
      <c r="V63" s="6">
        <f t="shared" si="17"/>
        <v>2.7701150064377868E-4</v>
      </c>
      <c r="W63" s="2"/>
      <c r="X63" s="2">
        <f t="shared" si="18"/>
        <v>-2087.9700000000003</v>
      </c>
      <c r="Y63" s="2"/>
      <c r="Z63" s="6">
        <f t="shared" si="19"/>
        <v>-0.74837634408602161</v>
      </c>
    </row>
    <row r="64" spans="1:26" s="70" customFormat="1" ht="15" hidden="1" customHeight="1" outlineLevel="2" x14ac:dyDescent="0.3">
      <c r="A64" s="26"/>
      <c r="B64" s="12" t="str">
        <f>CONCATENATE("          ","6277"," - ","EMPLOYEE APPRECIATION")</f>
        <v xml:space="preserve">          6277 - EMPLOYEE APPRECIATION</v>
      </c>
      <c r="C64" s="12"/>
      <c r="D64" s="7">
        <v>61.45</v>
      </c>
      <c r="E64" s="3"/>
      <c r="F64" s="8">
        <f t="shared" si="12"/>
        <v>3.0374365463070198E-5</v>
      </c>
      <c r="G64" s="3"/>
      <c r="H64" s="7">
        <v>220</v>
      </c>
      <c r="I64" s="3"/>
      <c r="J64" s="8">
        <f t="shared" si="13"/>
        <v>1.4916366644292118E-4</v>
      </c>
      <c r="K64" s="3"/>
      <c r="L64" s="7">
        <f t="shared" si="14"/>
        <v>-158.55000000000001</v>
      </c>
      <c r="M64" s="3"/>
      <c r="N64" s="8">
        <f t="shared" si="15"/>
        <v>-0.7206818181818182</v>
      </c>
      <c r="O64" s="12"/>
      <c r="P64" s="7">
        <v>702.03</v>
      </c>
      <c r="Q64" s="3"/>
      <c r="R64" s="8">
        <f t="shared" si="16"/>
        <v>5.6998777720753458E-5</v>
      </c>
      <c r="S64" s="3"/>
      <c r="T64" s="7">
        <v>2790</v>
      </c>
      <c r="U64" s="3"/>
      <c r="V64" s="8">
        <f t="shared" si="17"/>
        <v>2.7701150064377868E-4</v>
      </c>
      <c r="W64" s="3"/>
      <c r="X64" s="7">
        <f t="shared" si="18"/>
        <v>-2087.9700000000003</v>
      </c>
      <c r="Y64" s="3"/>
      <c r="Z64" s="8">
        <f t="shared" si="19"/>
        <v>-0.74837634408602161</v>
      </c>
    </row>
    <row r="65" spans="1:26" s="69" customFormat="1" ht="15" customHeight="1" outlineLevel="1" collapsed="1" x14ac:dyDescent="0.3">
      <c r="A65" s="25"/>
      <c r="B65" s="14" t="str">
        <f>CONCATENATE("     ","Equipment Rental                                  ")</f>
        <v xml:space="preserve">     Equipment Rental                                  </v>
      </c>
      <c r="C65" s="14"/>
      <c r="D65" s="2">
        <f>SUM(OSRRefD22_8x_0)</f>
        <v>3155.89</v>
      </c>
      <c r="E65" s="2"/>
      <c r="F65" s="6">
        <f t="shared" si="12"/>
        <v>1.5599374486777642E-3</v>
      </c>
      <c r="G65" s="2"/>
      <c r="H65" s="2">
        <f>SUM(OSRRefH22_8x_0)</f>
        <v>1570</v>
      </c>
      <c r="I65" s="2"/>
      <c r="J65" s="6">
        <f t="shared" si="13"/>
        <v>1.0644861650699374E-3</v>
      </c>
      <c r="K65" s="2"/>
      <c r="L65" s="2">
        <f t="shared" si="14"/>
        <v>1585.8899999999999</v>
      </c>
      <c r="M65" s="2"/>
      <c r="N65" s="6">
        <f t="shared" si="15"/>
        <v>1.0101210191082801</v>
      </c>
      <c r="O65" s="14"/>
      <c r="P65" s="2">
        <f>SUM(OSRRefP22_8x_0)</f>
        <v>20798.599999999999</v>
      </c>
      <c r="Q65" s="2"/>
      <c r="R65" s="6">
        <f t="shared" si="16"/>
        <v>1.6886668351820619E-3</v>
      </c>
      <c r="S65" s="2"/>
      <c r="T65" s="2">
        <f>SUM(OSRRefT22_8x_0)</f>
        <v>15700</v>
      </c>
      <c r="U65" s="2"/>
      <c r="V65" s="6">
        <f t="shared" si="17"/>
        <v>1.5588102365976077E-3</v>
      </c>
      <c r="W65" s="2"/>
      <c r="X65" s="2">
        <f t="shared" si="18"/>
        <v>5098.5999999999985</v>
      </c>
      <c r="Y65" s="2"/>
      <c r="Z65" s="6">
        <f t="shared" si="19"/>
        <v>0.32475159235668782</v>
      </c>
    </row>
    <row r="66" spans="1:26" s="70" customFormat="1" ht="15" hidden="1" customHeight="1" outlineLevel="2" x14ac:dyDescent="0.3">
      <c r="A66" s="26"/>
      <c r="B66" s="12" t="str">
        <f>CONCATENATE("          ","6351"," - ","EQUIPMENT RENTAL")</f>
        <v xml:space="preserve">          6351 - EQUIPMENT RENTAL</v>
      </c>
      <c r="C66" s="12"/>
      <c r="D66" s="7">
        <v>3155.89</v>
      </c>
      <c r="E66" s="3"/>
      <c r="F66" s="8">
        <f t="shared" si="12"/>
        <v>1.5599374486777642E-3</v>
      </c>
      <c r="G66" s="3"/>
      <c r="H66" s="7">
        <v>1570</v>
      </c>
      <c r="I66" s="3"/>
      <c r="J66" s="8">
        <f t="shared" si="13"/>
        <v>1.0644861650699374E-3</v>
      </c>
      <c r="K66" s="3"/>
      <c r="L66" s="7">
        <f t="shared" si="14"/>
        <v>1585.8899999999999</v>
      </c>
      <c r="M66" s="3"/>
      <c r="N66" s="8">
        <f t="shared" si="15"/>
        <v>1.0101210191082801</v>
      </c>
      <c r="O66" s="12"/>
      <c r="P66" s="7">
        <v>20798.599999999999</v>
      </c>
      <c r="Q66" s="3"/>
      <c r="R66" s="8">
        <f t="shared" si="16"/>
        <v>1.6886668351820619E-3</v>
      </c>
      <c r="S66" s="3"/>
      <c r="T66" s="7">
        <v>15700</v>
      </c>
      <c r="U66" s="3"/>
      <c r="V66" s="8">
        <f t="shared" si="17"/>
        <v>1.5588102365976077E-3</v>
      </c>
      <c r="W66" s="3"/>
      <c r="X66" s="7">
        <f t="shared" si="18"/>
        <v>5098.5999999999985</v>
      </c>
      <c r="Y66" s="3"/>
      <c r="Z66" s="8">
        <f t="shared" si="19"/>
        <v>0.32475159235668782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SUM(OSRRefD22_9x_0)</f>
        <v>4704.83</v>
      </c>
      <c r="E67" s="2"/>
      <c r="F67" s="6">
        <f t="shared" si="12"/>
        <v>2.3255691759416853E-3</v>
      </c>
      <c r="G67" s="2"/>
      <c r="H67" s="2">
        <f>SUM(OSRRefH22_9x_0)</f>
        <v>540</v>
      </c>
      <c r="I67" s="2"/>
      <c r="J67" s="6">
        <f t="shared" si="13"/>
        <v>3.6612899945080647E-4</v>
      </c>
      <c r="K67" s="2"/>
      <c r="L67" s="2">
        <f t="shared" si="14"/>
        <v>4164.83</v>
      </c>
      <c r="M67" s="2"/>
      <c r="N67" s="6">
        <f t="shared" si="15"/>
        <v>7.7126481481481477</v>
      </c>
      <c r="O67" s="14"/>
      <c r="P67" s="2">
        <f>SUM(OSRRefP22_9x_0)</f>
        <v>39143.35</v>
      </c>
      <c r="Q67" s="2"/>
      <c r="R67" s="6">
        <f t="shared" si="16"/>
        <v>3.1781022262519477E-3</v>
      </c>
      <c r="S67" s="2"/>
      <c r="T67" s="2">
        <f>SUM(OSRRefT22_9x_0)</f>
        <v>16560</v>
      </c>
      <c r="U67" s="2"/>
      <c r="V67" s="6">
        <f t="shared" si="17"/>
        <v>1.6441972941437187E-3</v>
      </c>
      <c r="W67" s="2"/>
      <c r="X67" s="2">
        <f t="shared" si="18"/>
        <v>22583.35</v>
      </c>
      <c r="Y67" s="2"/>
      <c r="Z67" s="6">
        <f t="shared" si="19"/>
        <v>1.3637288647342993</v>
      </c>
    </row>
    <row r="68" spans="1:26" s="70" customFormat="1" ht="15" hidden="1" customHeight="1" outlineLevel="2" x14ac:dyDescent="0.3">
      <c r="A68" s="26"/>
      <c r="B68" s="12" t="str">
        <f>CONCATENATE("          ","6269"," - ","ENTERTAINMENT")</f>
        <v xml:space="preserve">          6269 - ENTERTAINMENT</v>
      </c>
      <c r="C68" s="12"/>
      <c r="D68" s="7"/>
      <c r="E68" s="3"/>
      <c r="F68" s="8">
        <f t="shared" si="12"/>
        <v>0</v>
      </c>
      <c r="G68" s="3"/>
      <c r="H68" s="7"/>
      <c r="I68" s="3"/>
      <c r="J68" s="8">
        <f t="shared" si="13"/>
        <v>0</v>
      </c>
      <c r="K68" s="3"/>
      <c r="L68" s="7">
        <f t="shared" si="14"/>
        <v>0</v>
      </c>
      <c r="M68" s="3"/>
      <c r="N68" s="8">
        <f t="shared" si="15"/>
        <v>0</v>
      </c>
      <c r="O68" s="12"/>
      <c r="P68" s="7"/>
      <c r="Q68" s="3"/>
      <c r="R68" s="8">
        <f t="shared" si="16"/>
        <v>0</v>
      </c>
      <c r="S68" s="3"/>
      <c r="T68" s="7">
        <v>500</v>
      </c>
      <c r="U68" s="3"/>
      <c r="V68" s="8">
        <f t="shared" si="17"/>
        <v>4.9643638108204065E-5</v>
      </c>
      <c r="W68" s="3"/>
      <c r="X68" s="7">
        <f t="shared" si="18"/>
        <v>-500</v>
      </c>
      <c r="Y68" s="3"/>
      <c r="Z68" s="8">
        <f t="shared" si="19"/>
        <v>-1</v>
      </c>
    </row>
    <row r="69" spans="1:26" s="70" customFormat="1" ht="15" hidden="1" customHeight="1" outlineLevel="2" x14ac:dyDescent="0.3">
      <c r="A69" s="26"/>
      <c r="B69" s="12" t="str">
        <f>CONCATENATE("          ","6279"," - ","GENERAL EXPENSE")</f>
        <v xml:space="preserve">          6279 - GENERAL EXPENSE</v>
      </c>
      <c r="C69" s="12"/>
      <c r="D69" s="7">
        <v>4704.83</v>
      </c>
      <c r="E69" s="3"/>
      <c r="F69" s="8">
        <f t="shared" si="12"/>
        <v>2.3255691759416853E-3</v>
      </c>
      <c r="G69" s="3"/>
      <c r="H69" s="7">
        <v>540</v>
      </c>
      <c r="I69" s="3"/>
      <c r="J69" s="8">
        <f t="shared" si="13"/>
        <v>3.6612899945080647E-4</v>
      </c>
      <c r="K69" s="3"/>
      <c r="L69" s="7">
        <f t="shared" si="14"/>
        <v>4164.83</v>
      </c>
      <c r="M69" s="3"/>
      <c r="N69" s="8">
        <f t="shared" si="15"/>
        <v>7.7126481481481477</v>
      </c>
      <c r="O69" s="12"/>
      <c r="P69" s="7">
        <v>39143.35</v>
      </c>
      <c r="Q69" s="3"/>
      <c r="R69" s="8">
        <f t="shared" si="16"/>
        <v>3.1781022262519477E-3</v>
      </c>
      <c r="S69" s="3"/>
      <c r="T69" s="7">
        <v>16060</v>
      </c>
      <c r="U69" s="3"/>
      <c r="V69" s="8">
        <f t="shared" si="17"/>
        <v>1.5945536560355146E-3</v>
      </c>
      <c r="W69" s="3"/>
      <c r="X69" s="7">
        <f t="shared" si="18"/>
        <v>23083.35</v>
      </c>
      <c r="Y69" s="3"/>
      <c r="Z69" s="8">
        <f t="shared" si="19"/>
        <v>1.4373194271481942</v>
      </c>
    </row>
    <row r="70" spans="1:26" s="69" customFormat="1" ht="15" customHeight="1" outlineLevel="1" collapsed="1" x14ac:dyDescent="0.3">
      <c r="A70" s="25"/>
      <c r="B70" s="14" t="str">
        <f>CONCATENATE("     ","Insurance                                         ")</f>
        <v xml:space="preserve">     Insurance                                         </v>
      </c>
      <c r="C70" s="14"/>
      <c r="D70" s="2">
        <f>SUM(OSRRefD22_10x_0)</f>
        <v>5761.42</v>
      </c>
      <c r="E70" s="2"/>
      <c r="F70" s="6">
        <f t="shared" si="12"/>
        <v>2.8478352590112594E-3</v>
      </c>
      <c r="G70" s="2"/>
      <c r="H70" s="2">
        <f>SUM(OSRRefH22_10x_0)</f>
        <v>5680</v>
      </c>
      <c r="I70" s="2"/>
      <c r="J70" s="6">
        <f t="shared" si="13"/>
        <v>3.8511346608899647E-3</v>
      </c>
      <c r="K70" s="2"/>
      <c r="L70" s="2">
        <f t="shared" si="14"/>
        <v>81.420000000000073</v>
      </c>
      <c r="M70" s="2"/>
      <c r="N70" s="6">
        <f t="shared" si="15"/>
        <v>1.4334507042253534E-2</v>
      </c>
      <c r="O70" s="14"/>
      <c r="P70" s="2">
        <f>SUM(OSRRefP22_10x_0)</f>
        <v>64497.21</v>
      </c>
      <c r="Q70" s="2"/>
      <c r="R70" s="6">
        <f t="shared" si="16"/>
        <v>5.2366168630952484E-3</v>
      </c>
      <c r="S70" s="2"/>
      <c r="T70" s="2">
        <f>SUM(OSRRefT22_10x_0)</f>
        <v>56800</v>
      </c>
      <c r="U70" s="2"/>
      <c r="V70" s="6">
        <f t="shared" si="17"/>
        <v>5.6395172890919823E-3</v>
      </c>
      <c r="W70" s="2"/>
      <c r="X70" s="2">
        <f t="shared" si="18"/>
        <v>7697.2099999999991</v>
      </c>
      <c r="Y70" s="2"/>
      <c r="Z70" s="6">
        <f t="shared" si="19"/>
        <v>0.13551426056338026</v>
      </c>
    </row>
    <row r="71" spans="1:26" s="70" customFormat="1" ht="15" hidden="1" customHeight="1" outlineLevel="2" x14ac:dyDescent="0.3">
      <c r="A71" s="26"/>
      <c r="B71" s="12" t="str">
        <f>CONCATENATE("          ","6314"," - ","LIABILITY INSURANCE")</f>
        <v xml:space="preserve">          6314 - LIABILITY INSURANCE</v>
      </c>
      <c r="C71" s="12"/>
      <c r="D71" s="7">
        <v>5761.42</v>
      </c>
      <c r="E71" s="3"/>
      <c r="F71" s="8">
        <f t="shared" si="12"/>
        <v>2.8478352590112594E-3</v>
      </c>
      <c r="G71" s="3"/>
      <c r="H71" s="7">
        <v>5680</v>
      </c>
      <c r="I71" s="3"/>
      <c r="J71" s="8">
        <f t="shared" si="13"/>
        <v>3.8511346608899647E-3</v>
      </c>
      <c r="K71" s="3"/>
      <c r="L71" s="7">
        <f t="shared" si="14"/>
        <v>81.420000000000073</v>
      </c>
      <c r="M71" s="3"/>
      <c r="N71" s="8">
        <f t="shared" si="15"/>
        <v>1.4334507042253534E-2</v>
      </c>
      <c r="O71" s="12"/>
      <c r="P71" s="7">
        <v>64497.21</v>
      </c>
      <c r="Q71" s="3"/>
      <c r="R71" s="8">
        <f t="shared" si="16"/>
        <v>5.2366168630952484E-3</v>
      </c>
      <c r="S71" s="3"/>
      <c r="T71" s="7">
        <v>56800</v>
      </c>
      <c r="U71" s="3"/>
      <c r="V71" s="8">
        <f t="shared" si="17"/>
        <v>5.6395172890919823E-3</v>
      </c>
      <c r="W71" s="3"/>
      <c r="X71" s="7">
        <f t="shared" si="18"/>
        <v>7697.2099999999991</v>
      </c>
      <c r="Y71" s="3"/>
      <c r="Z71" s="8">
        <f t="shared" si="19"/>
        <v>0.13551426056338026</v>
      </c>
    </row>
    <row r="72" spans="1:26" s="69" customFormat="1" ht="15" customHeight="1" outlineLevel="1" collapsed="1" x14ac:dyDescent="0.3">
      <c r="A72" s="25"/>
      <c r="B72" s="14" t="str">
        <f>CONCATENATE("     ","Interest                                          ")</f>
        <v xml:space="preserve">     Interest                                          </v>
      </c>
      <c r="C72" s="14"/>
      <c r="D72" s="2">
        <f>SUM(OSRRefD22_11x_0)</f>
        <v>5629</v>
      </c>
      <c r="E72" s="2"/>
      <c r="F72" s="6">
        <f t="shared" si="12"/>
        <v>2.7823808493347784E-3</v>
      </c>
      <c r="G72" s="2"/>
      <c r="H72" s="2">
        <f>SUM(OSRRefH22_11x_0)</f>
        <v>7253</v>
      </c>
      <c r="I72" s="2"/>
      <c r="J72" s="6">
        <f t="shared" si="13"/>
        <v>4.9176548759568509E-3</v>
      </c>
      <c r="K72" s="2"/>
      <c r="L72" s="2">
        <f t="shared" si="14"/>
        <v>-1624</v>
      </c>
      <c r="M72" s="2"/>
      <c r="N72" s="6">
        <f t="shared" si="15"/>
        <v>-0.22390734868330345</v>
      </c>
      <c r="O72" s="14"/>
      <c r="P72" s="2">
        <f>SUM(OSRRefP22_11x_0)</f>
        <v>70392</v>
      </c>
      <c r="Q72" s="2"/>
      <c r="R72" s="6">
        <f t="shared" si="16"/>
        <v>5.7152229410698651E-3</v>
      </c>
      <c r="S72" s="2"/>
      <c r="T72" s="2">
        <f>SUM(OSRRefT22_11x_0)</f>
        <v>72530</v>
      </c>
      <c r="U72" s="2"/>
      <c r="V72" s="6">
        <f t="shared" si="17"/>
        <v>7.2013061439760821E-3</v>
      </c>
      <c r="W72" s="2"/>
      <c r="X72" s="2">
        <f t="shared" si="18"/>
        <v>-2138</v>
      </c>
      <c r="Y72" s="2"/>
      <c r="Z72" s="6">
        <f t="shared" si="19"/>
        <v>-2.9477457603750173E-2</v>
      </c>
    </row>
    <row r="73" spans="1:26" s="70" customFormat="1" ht="15" hidden="1" customHeight="1" outlineLevel="2" x14ac:dyDescent="0.3">
      <c r="A73" s="26"/>
      <c r="B73" s="12" t="str">
        <f>CONCATENATE("          ","6401"," - ","INTEREST EXPENSE")</f>
        <v xml:space="preserve">          6401 - INTEREST EXPENSE</v>
      </c>
      <c r="C73" s="12"/>
      <c r="D73" s="7">
        <v>5629</v>
      </c>
      <c r="E73" s="3"/>
      <c r="F73" s="8">
        <f t="shared" si="12"/>
        <v>2.7823808493347784E-3</v>
      </c>
      <c r="G73" s="3"/>
      <c r="H73" s="7">
        <v>7253</v>
      </c>
      <c r="I73" s="3"/>
      <c r="J73" s="8">
        <f t="shared" si="13"/>
        <v>4.9176548759568509E-3</v>
      </c>
      <c r="K73" s="3"/>
      <c r="L73" s="7">
        <f t="shared" si="14"/>
        <v>-1624</v>
      </c>
      <c r="M73" s="3"/>
      <c r="N73" s="8">
        <f t="shared" si="15"/>
        <v>-0.22390734868330345</v>
      </c>
      <c r="O73" s="12"/>
      <c r="P73" s="7">
        <v>70392</v>
      </c>
      <c r="Q73" s="3"/>
      <c r="R73" s="8">
        <f t="shared" si="16"/>
        <v>5.7152229410698651E-3</v>
      </c>
      <c r="S73" s="3"/>
      <c r="T73" s="7">
        <v>72530</v>
      </c>
      <c r="U73" s="3"/>
      <c r="V73" s="8">
        <f t="shared" si="17"/>
        <v>7.2013061439760821E-3</v>
      </c>
      <c r="W73" s="3"/>
      <c r="X73" s="7">
        <f t="shared" si="18"/>
        <v>-2138</v>
      </c>
      <c r="Y73" s="3"/>
      <c r="Z73" s="8">
        <f t="shared" si="19"/>
        <v>-2.9477457603750173E-2</v>
      </c>
    </row>
    <row r="74" spans="1:26" s="69" customFormat="1" ht="15" customHeight="1" outlineLevel="1" collapsed="1" x14ac:dyDescent="0.3">
      <c r="A74" s="25"/>
      <c r="B74" s="14" t="str">
        <f>CONCATENATE("     ","R/H Commissions                                   ")</f>
        <v xml:space="preserve">     R/H Commissions                                   </v>
      </c>
      <c r="C74" s="14"/>
      <c r="D74" s="2">
        <f>SUM(OSRRefD22_12x_0)</f>
        <v>135508.24</v>
      </c>
      <c r="E74" s="2"/>
      <c r="F74" s="6">
        <f t="shared" si="12"/>
        <v>6.69809081369801E-2</v>
      </c>
      <c r="G74" s="2"/>
      <c r="H74" s="2">
        <f>SUM(OSRRefH22_12x_0)</f>
        <v>87091</v>
      </c>
      <c r="I74" s="2"/>
      <c r="J74" s="6">
        <f t="shared" si="13"/>
        <v>5.9049149428092945E-2</v>
      </c>
      <c r="K74" s="2"/>
      <c r="L74" s="2">
        <f t="shared" si="14"/>
        <v>48417.239999999991</v>
      </c>
      <c r="M74" s="2"/>
      <c r="N74" s="6">
        <f t="shared" si="15"/>
        <v>0.55593850110803633</v>
      </c>
      <c r="O74" s="14"/>
      <c r="P74" s="2">
        <f>SUM(OSRRefP22_12x_0)</f>
        <v>856200.41</v>
      </c>
      <c r="Q74" s="2"/>
      <c r="R74" s="6">
        <f t="shared" si="16"/>
        <v>6.9516084574744647E-2</v>
      </c>
      <c r="S74" s="2"/>
      <c r="T74" s="2">
        <f>SUM(OSRRefT22_12x_0)</f>
        <v>659088</v>
      </c>
      <c r="U74" s="2"/>
      <c r="V74" s="6">
        <f t="shared" si="17"/>
        <v>6.5439052306920001E-2</v>
      </c>
      <c r="W74" s="2"/>
      <c r="X74" s="2">
        <f t="shared" si="18"/>
        <v>197112.41000000003</v>
      </c>
      <c r="Y74" s="2"/>
      <c r="Z74" s="6">
        <f t="shared" si="19"/>
        <v>0.29906842485373736</v>
      </c>
    </row>
    <row r="75" spans="1:26" s="70" customFormat="1" ht="15" hidden="1" customHeight="1" outlineLevel="2" x14ac:dyDescent="0.3">
      <c r="A75" s="26"/>
      <c r="B75" s="12" t="str">
        <f>CONCATENATE("          ","6387"," - ","COMMISSION DUE HOUSING")</f>
        <v xml:space="preserve">          6387 - COMMISSION DUE HOUSING</v>
      </c>
      <c r="C75" s="12"/>
      <c r="D75" s="7">
        <v>135508.24</v>
      </c>
      <c r="E75" s="3"/>
      <c r="F75" s="8">
        <f t="shared" si="12"/>
        <v>6.69809081369801E-2</v>
      </c>
      <c r="G75" s="3"/>
      <c r="H75" s="7">
        <v>87091</v>
      </c>
      <c r="I75" s="3"/>
      <c r="J75" s="8">
        <f t="shared" si="13"/>
        <v>5.9049149428092945E-2</v>
      </c>
      <c r="K75" s="3"/>
      <c r="L75" s="7">
        <f t="shared" si="14"/>
        <v>48417.239999999991</v>
      </c>
      <c r="M75" s="3"/>
      <c r="N75" s="8">
        <f t="shared" si="15"/>
        <v>0.55593850110803633</v>
      </c>
      <c r="O75" s="12"/>
      <c r="P75" s="7">
        <v>856200.41</v>
      </c>
      <c r="Q75" s="3"/>
      <c r="R75" s="8">
        <f t="shared" si="16"/>
        <v>6.9516084574744647E-2</v>
      </c>
      <c r="S75" s="3"/>
      <c r="T75" s="7">
        <v>659088</v>
      </c>
      <c r="U75" s="3"/>
      <c r="V75" s="8">
        <f t="shared" si="17"/>
        <v>6.5439052306920001E-2</v>
      </c>
      <c r="W75" s="3"/>
      <c r="X75" s="7">
        <f t="shared" si="18"/>
        <v>197112.41000000003</v>
      </c>
      <c r="Y75" s="3"/>
      <c r="Z75" s="8">
        <f t="shared" si="19"/>
        <v>0.29906842485373736</v>
      </c>
    </row>
    <row r="76" spans="1:26" s="69" customFormat="1" ht="15" customHeight="1" outlineLevel="1" collapsed="1" x14ac:dyDescent="0.3">
      <c r="A76" s="25"/>
      <c r="B76" s="14" t="str">
        <f>CONCATENATE("     ","Rent                                              ")</f>
        <v xml:space="preserve">     Rent                                              </v>
      </c>
      <c r="C76" s="14"/>
      <c r="D76" s="2">
        <f>SUM(OSRRefD22_13x_0)</f>
        <v>1850</v>
      </c>
      <c r="E76" s="2"/>
      <c r="F76" s="6">
        <f t="shared" si="12"/>
        <v>9.1444387480357791E-4</v>
      </c>
      <c r="G76" s="2"/>
      <c r="H76" s="2">
        <f>SUM(OSRRefH22_13x_0)</f>
        <v>1850</v>
      </c>
      <c r="I76" s="2"/>
      <c r="J76" s="6">
        <f t="shared" si="13"/>
        <v>1.2543308314518372E-3</v>
      </c>
      <c r="K76" s="2"/>
      <c r="L76" s="2">
        <f t="shared" si="14"/>
        <v>0</v>
      </c>
      <c r="M76" s="2"/>
      <c r="N76" s="6">
        <f t="shared" si="15"/>
        <v>0</v>
      </c>
      <c r="O76" s="14"/>
      <c r="P76" s="2">
        <f>SUM(OSRRefP22_13x_0)</f>
        <v>18500</v>
      </c>
      <c r="Q76" s="2"/>
      <c r="R76" s="6">
        <f t="shared" si="16"/>
        <v>1.502040351315384E-3</v>
      </c>
      <c r="S76" s="2"/>
      <c r="T76" s="2">
        <f>SUM(OSRRefT22_13x_0)</f>
        <v>18500</v>
      </c>
      <c r="U76" s="2"/>
      <c r="V76" s="6">
        <f t="shared" si="17"/>
        <v>1.8368146100035505E-3</v>
      </c>
      <c r="W76" s="2"/>
      <c r="X76" s="2">
        <f t="shared" si="18"/>
        <v>0</v>
      </c>
      <c r="Y76" s="2"/>
      <c r="Z76" s="6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","6273"," - ","RENT")</f>
        <v xml:space="preserve">          6273 - RENT</v>
      </c>
      <c r="C77" s="12"/>
      <c r="D77" s="7">
        <v>1850</v>
      </c>
      <c r="E77" s="3"/>
      <c r="F77" s="8">
        <f t="shared" si="12"/>
        <v>9.1444387480357791E-4</v>
      </c>
      <c r="G77" s="3"/>
      <c r="H77" s="7">
        <v>1850</v>
      </c>
      <c r="I77" s="3"/>
      <c r="J77" s="8">
        <f t="shared" si="13"/>
        <v>1.2543308314518372E-3</v>
      </c>
      <c r="K77" s="3"/>
      <c r="L77" s="7">
        <f t="shared" si="14"/>
        <v>0</v>
      </c>
      <c r="M77" s="3"/>
      <c r="N77" s="8">
        <f t="shared" si="15"/>
        <v>0</v>
      </c>
      <c r="O77" s="12"/>
      <c r="P77" s="7">
        <v>18500</v>
      </c>
      <c r="Q77" s="3"/>
      <c r="R77" s="8">
        <f t="shared" si="16"/>
        <v>1.502040351315384E-3</v>
      </c>
      <c r="S77" s="3"/>
      <c r="T77" s="7">
        <v>18500</v>
      </c>
      <c r="U77" s="3"/>
      <c r="V77" s="8">
        <f t="shared" si="17"/>
        <v>1.8368146100035505E-3</v>
      </c>
      <c r="W77" s="3"/>
      <c r="X77" s="7">
        <f t="shared" si="18"/>
        <v>0</v>
      </c>
      <c r="Y77" s="3"/>
      <c r="Z77" s="8">
        <f t="shared" si="19"/>
        <v>0</v>
      </c>
    </row>
    <row r="78" spans="1:26" s="69" customFormat="1" ht="15" customHeight="1" outlineLevel="1" collapsed="1" x14ac:dyDescent="0.3">
      <c r="A78" s="25"/>
      <c r="B78" s="14" t="str">
        <f>CONCATENATE("     ","Repair and Maintenance                            ")</f>
        <v xml:space="preserve">     Repair and Maintenance                            </v>
      </c>
      <c r="C78" s="14"/>
      <c r="D78" s="2">
        <f>SUM(OSRRefD22_14x_0)</f>
        <v>21930.02</v>
      </c>
      <c r="E78" s="2"/>
      <c r="F78" s="6">
        <f t="shared" si="12"/>
        <v>1.083987700719998E-2</v>
      </c>
      <c r="G78" s="2"/>
      <c r="H78" s="2">
        <f>SUM(OSRRefH22_14x_0)</f>
        <v>12729</v>
      </c>
      <c r="I78" s="2"/>
      <c r="J78" s="6">
        <f t="shared" si="13"/>
        <v>8.6304741370542889E-3</v>
      </c>
      <c r="K78" s="2"/>
      <c r="L78" s="2">
        <f t="shared" si="14"/>
        <v>9201.02</v>
      </c>
      <c r="M78" s="2"/>
      <c r="N78" s="6">
        <f t="shared" si="15"/>
        <v>0.7228391861104565</v>
      </c>
      <c r="O78" s="14"/>
      <c r="P78" s="2">
        <f>SUM(OSRRefP22_14x_0)</f>
        <v>130647.35999999999</v>
      </c>
      <c r="Q78" s="2"/>
      <c r="R78" s="6">
        <f t="shared" si="16"/>
        <v>1.0607438189882563E-2</v>
      </c>
      <c r="S78" s="2"/>
      <c r="T78" s="2">
        <f>SUM(OSRRefT22_14x_0)</f>
        <v>104888</v>
      </c>
      <c r="U78" s="2"/>
      <c r="V78" s="6">
        <f t="shared" si="17"/>
        <v>1.0414043827786617E-2</v>
      </c>
      <c r="W78" s="2"/>
      <c r="X78" s="2">
        <f t="shared" si="18"/>
        <v>25759.359999999986</v>
      </c>
      <c r="Y78" s="2"/>
      <c r="Z78" s="6">
        <f t="shared" si="19"/>
        <v>0.24558919990847367</v>
      </c>
    </row>
    <row r="79" spans="1:26" s="70" customFormat="1" ht="15" hidden="1" customHeight="1" outlineLevel="2" x14ac:dyDescent="0.3">
      <c r="A79" s="26"/>
      <c r="B79" s="12" t="str">
        <f>CONCATENATE("          ","6371"," - ","COMPUTER SOFTWARE MAINTENANCE")</f>
        <v xml:space="preserve">          6371 - COMPUTER SOFTWARE MAINTENANCE</v>
      </c>
      <c r="C79" s="12"/>
      <c r="D79" s="7">
        <v>12466.19</v>
      </c>
      <c r="E79" s="3"/>
      <c r="F79" s="8">
        <f t="shared" si="12"/>
        <v>6.1619627500743871E-3</v>
      </c>
      <c r="G79" s="3"/>
      <c r="H79" s="7">
        <v>3500</v>
      </c>
      <c r="I79" s="3"/>
      <c r="J79" s="8">
        <f t="shared" si="13"/>
        <v>2.373058329773746E-3</v>
      </c>
      <c r="K79" s="3"/>
      <c r="L79" s="7">
        <f t="shared" si="14"/>
        <v>8966.19</v>
      </c>
      <c r="M79" s="3"/>
      <c r="N79" s="8">
        <f t="shared" si="15"/>
        <v>2.5617685714285714</v>
      </c>
      <c r="O79" s="12"/>
      <c r="P79" s="7">
        <v>51567.06</v>
      </c>
      <c r="Q79" s="3"/>
      <c r="R79" s="8">
        <f t="shared" si="16"/>
        <v>4.1868002658757555E-3</v>
      </c>
      <c r="S79" s="3"/>
      <c r="T79" s="7">
        <v>35000</v>
      </c>
      <c r="U79" s="3"/>
      <c r="V79" s="8">
        <f t="shared" si="17"/>
        <v>3.4750546675742849E-3</v>
      </c>
      <c r="W79" s="3"/>
      <c r="X79" s="7">
        <f t="shared" si="18"/>
        <v>16567.059999999998</v>
      </c>
      <c r="Y79" s="3"/>
      <c r="Z79" s="8">
        <f t="shared" si="19"/>
        <v>0.47334457142857134</v>
      </c>
    </row>
    <row r="80" spans="1:26" s="70" customFormat="1" ht="15" hidden="1" customHeight="1" outlineLevel="2" x14ac:dyDescent="0.3">
      <c r="A80" s="26"/>
      <c r="B80" s="12" t="str">
        <f>CONCATENATE("          ","6372"," - ","COMPUTER HARDWARE MAINTENANCE")</f>
        <v xml:space="preserve">          6372 - COMPUTER HARDWARE MAINTENANCE</v>
      </c>
      <c r="C80" s="12"/>
      <c r="D80" s="7"/>
      <c r="E80" s="3"/>
      <c r="F80" s="8">
        <f t="shared" si="12"/>
        <v>0</v>
      </c>
      <c r="G80" s="3"/>
      <c r="H80" s="7"/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8000</v>
      </c>
      <c r="U80" s="3"/>
      <c r="V80" s="8">
        <f t="shared" si="17"/>
        <v>7.9429820973126505E-4</v>
      </c>
      <c r="W80" s="3"/>
      <c r="X80" s="7">
        <f t="shared" si="18"/>
        <v>-8000</v>
      </c>
      <c r="Y80" s="3"/>
      <c r="Z80" s="8">
        <f t="shared" si="19"/>
        <v>-1</v>
      </c>
    </row>
    <row r="81" spans="1:26" s="70" customFormat="1" ht="15" hidden="1" customHeight="1" outlineLevel="2" x14ac:dyDescent="0.3">
      <c r="A81" s="26"/>
      <c r="B81" s="12" t="str">
        <f>CONCATENATE("          ","6373"," - ","MAINTENANCE CONTRACTS")</f>
        <v xml:space="preserve">          6373 - MAINTENANCE CONTRACTS</v>
      </c>
      <c r="C81" s="12"/>
      <c r="D81" s="7">
        <v>0.32</v>
      </c>
      <c r="E81" s="3"/>
      <c r="F81" s="8">
        <f t="shared" si="12"/>
        <v>1.5817407564169996E-7</v>
      </c>
      <c r="G81" s="3"/>
      <c r="H81" s="7">
        <v>4530</v>
      </c>
      <c r="I81" s="3"/>
      <c r="J81" s="8">
        <f t="shared" si="13"/>
        <v>3.0714154953928765E-3</v>
      </c>
      <c r="K81" s="3"/>
      <c r="L81" s="7">
        <f t="shared" si="14"/>
        <v>-4529.68</v>
      </c>
      <c r="M81" s="3"/>
      <c r="N81" s="8">
        <f t="shared" si="15"/>
        <v>-0.99992935982339959</v>
      </c>
      <c r="O81" s="12"/>
      <c r="P81" s="7">
        <v>21015.67</v>
      </c>
      <c r="Q81" s="3"/>
      <c r="R81" s="8">
        <f t="shared" si="16"/>
        <v>1.7062910459420635E-3</v>
      </c>
      <c r="S81" s="3"/>
      <c r="T81" s="7">
        <v>21545</v>
      </c>
      <c r="U81" s="3"/>
      <c r="V81" s="8">
        <f t="shared" si="17"/>
        <v>2.1391443660825132E-3</v>
      </c>
      <c r="W81" s="3"/>
      <c r="X81" s="7">
        <f t="shared" si="18"/>
        <v>-529.33000000000175</v>
      </c>
      <c r="Y81" s="3"/>
      <c r="Z81" s="8">
        <f t="shared" si="19"/>
        <v>-2.4568577396147678E-2</v>
      </c>
    </row>
    <row r="82" spans="1:26" s="70" customFormat="1" ht="15" hidden="1" customHeight="1" outlineLevel="2" x14ac:dyDescent="0.3">
      <c r="A82" s="26"/>
      <c r="B82" s="12" t="str">
        <f>CONCATENATE("          ","6375"," - ","OUTSIDE REPAIRS &amp; MAINTENANCE")</f>
        <v xml:space="preserve">          6375 - OUTSIDE REPAIRS &amp; MAINTENANCE</v>
      </c>
      <c r="C82" s="12"/>
      <c r="D82" s="7">
        <v>9463.51</v>
      </c>
      <c r="E82" s="3"/>
      <c r="F82" s="8">
        <f t="shared" si="12"/>
        <v>4.6777560830499505E-3</v>
      </c>
      <c r="G82" s="3"/>
      <c r="H82" s="7">
        <v>4699</v>
      </c>
      <c r="I82" s="3"/>
      <c r="J82" s="8">
        <f t="shared" si="13"/>
        <v>3.1860003118876663E-3</v>
      </c>
      <c r="K82" s="3"/>
      <c r="L82" s="7">
        <f t="shared" si="14"/>
        <v>4764.51</v>
      </c>
      <c r="M82" s="3"/>
      <c r="N82" s="8">
        <f t="shared" si="15"/>
        <v>1.0139412640987444</v>
      </c>
      <c r="O82" s="12"/>
      <c r="P82" s="7">
        <v>58064.63</v>
      </c>
      <c r="Q82" s="3"/>
      <c r="R82" s="8">
        <f t="shared" si="16"/>
        <v>4.7143468780647445E-3</v>
      </c>
      <c r="S82" s="3"/>
      <c r="T82" s="7">
        <v>40343</v>
      </c>
      <c r="U82" s="3"/>
      <c r="V82" s="8">
        <f t="shared" si="17"/>
        <v>4.0055465843985534E-3</v>
      </c>
      <c r="W82" s="3"/>
      <c r="X82" s="7">
        <f t="shared" si="18"/>
        <v>17721.629999999997</v>
      </c>
      <c r="Y82" s="3"/>
      <c r="Z82" s="8">
        <f t="shared" si="19"/>
        <v>0.43927397565872633</v>
      </c>
    </row>
    <row r="83" spans="1:26" s="69" customFormat="1" ht="15" customHeight="1" outlineLevel="1" collapsed="1" x14ac:dyDescent="0.3">
      <c r="A83" s="25"/>
      <c r="B83" s="14" t="str">
        <f>CONCATENATE("     ","Royalty &amp; Commissions                             ")</f>
        <v xml:space="preserve">     Royalty &amp; Commissions                             </v>
      </c>
      <c r="C83" s="14"/>
      <c r="D83" s="2">
        <f>SUM(OSRRefD22_15x_0)</f>
        <v>1845.35</v>
      </c>
      <c r="E83" s="2"/>
      <c r="F83" s="6">
        <f t="shared" si="12"/>
        <v>9.1214540776690949E-4</v>
      </c>
      <c r="G83" s="2"/>
      <c r="H83" s="2">
        <f>SUM(OSRRefH22_15x_0)</f>
        <v>0</v>
      </c>
      <c r="I83" s="2"/>
      <c r="J83" s="6">
        <f t="shared" si="13"/>
        <v>0</v>
      </c>
      <c r="K83" s="2"/>
      <c r="L83" s="2">
        <f t="shared" si="14"/>
        <v>1845.35</v>
      </c>
      <c r="M83" s="2"/>
      <c r="N83" s="6">
        <f t="shared" si="15"/>
        <v>0</v>
      </c>
      <c r="O83" s="14"/>
      <c r="P83" s="2">
        <f>SUM(OSRRefP22_15x_0)</f>
        <v>6063.06</v>
      </c>
      <c r="Q83" s="2"/>
      <c r="R83" s="6">
        <f t="shared" si="16"/>
        <v>4.9226814986195956E-4</v>
      </c>
      <c r="S83" s="2"/>
      <c r="T83" s="2">
        <f>SUM(OSRRefT22_15x_0)</f>
        <v>0</v>
      </c>
      <c r="U83" s="2"/>
      <c r="V83" s="6">
        <f t="shared" si="17"/>
        <v>0</v>
      </c>
      <c r="W83" s="2"/>
      <c r="X83" s="2">
        <f t="shared" si="18"/>
        <v>6063.06</v>
      </c>
      <c r="Y83" s="2"/>
      <c r="Z83" s="6">
        <f t="shared" si="19"/>
        <v>0</v>
      </c>
    </row>
    <row r="84" spans="1:26" s="70" customFormat="1" ht="15" hidden="1" customHeight="1" outlineLevel="2" x14ac:dyDescent="0.3">
      <c r="A84" s="26"/>
      <c r="B84" s="12" t="str">
        <f>CONCATENATE("          ","6254"," - ","ROYALTY &amp; COMMISSIONS")</f>
        <v xml:space="preserve">          6254 - ROYALTY &amp; COMMISSIONS</v>
      </c>
      <c r="C84" s="12"/>
      <c r="D84" s="7">
        <v>1845.35</v>
      </c>
      <c r="E84" s="3"/>
      <c r="F84" s="8">
        <f t="shared" si="12"/>
        <v>9.1214540776690949E-4</v>
      </c>
      <c r="G84" s="3"/>
      <c r="H84" s="7"/>
      <c r="I84" s="3"/>
      <c r="J84" s="8">
        <f t="shared" si="13"/>
        <v>0</v>
      </c>
      <c r="K84" s="3"/>
      <c r="L84" s="7">
        <f t="shared" si="14"/>
        <v>1845.35</v>
      </c>
      <c r="M84" s="3"/>
      <c r="N84" s="8">
        <f t="shared" si="15"/>
        <v>0</v>
      </c>
      <c r="O84" s="12"/>
      <c r="P84" s="7">
        <v>6063.06</v>
      </c>
      <c r="Q84" s="3"/>
      <c r="R84" s="8">
        <f t="shared" si="16"/>
        <v>4.9226814986195956E-4</v>
      </c>
      <c r="S84" s="3"/>
      <c r="T84" s="7"/>
      <c r="U84" s="3"/>
      <c r="V84" s="8">
        <f t="shared" si="17"/>
        <v>0</v>
      </c>
      <c r="W84" s="3"/>
      <c r="X84" s="7">
        <f t="shared" si="18"/>
        <v>6063.06</v>
      </c>
      <c r="Y84" s="3"/>
      <c r="Z84" s="8">
        <f t="shared" si="19"/>
        <v>0</v>
      </c>
    </row>
    <row r="85" spans="1:26" s="69" customFormat="1" ht="15" customHeight="1" outlineLevel="1" collapsed="1" x14ac:dyDescent="0.3">
      <c r="A85" s="25"/>
      <c r="B85" s="14" t="str">
        <f>CONCATENATE("     ","Services                                          ")</f>
        <v xml:space="preserve">     Services                                          </v>
      </c>
      <c r="C85" s="14"/>
      <c r="D85" s="2">
        <f>SUM(OSRRefD22_16x_0)</f>
        <v>27470.12</v>
      </c>
      <c r="E85" s="2"/>
      <c r="F85" s="6">
        <f t="shared" si="12"/>
        <v>1.3578315121145547E-2</v>
      </c>
      <c r="G85" s="2"/>
      <c r="H85" s="2">
        <f>SUM(OSRRefH22_16x_0)</f>
        <v>33798</v>
      </c>
      <c r="I85" s="2"/>
      <c r="J85" s="6">
        <f t="shared" si="13"/>
        <v>2.2915607265626588E-2</v>
      </c>
      <c r="K85" s="2"/>
      <c r="L85" s="2">
        <f t="shared" si="14"/>
        <v>-6327.880000000001</v>
      </c>
      <c r="M85" s="2"/>
      <c r="N85" s="6">
        <f t="shared" si="15"/>
        <v>-0.18722646310432572</v>
      </c>
      <c r="O85" s="14"/>
      <c r="P85" s="2">
        <f>SUM(OSRRefP22_16x_0)</f>
        <v>243769.96999999997</v>
      </c>
      <c r="Q85" s="2"/>
      <c r="R85" s="6">
        <f t="shared" si="16"/>
        <v>1.9792017912375167E-2</v>
      </c>
      <c r="S85" s="2"/>
      <c r="T85" s="2">
        <f>SUM(OSRRefT22_16x_0)</f>
        <v>320366</v>
      </c>
      <c r="U85" s="2"/>
      <c r="V85" s="6">
        <f t="shared" si="17"/>
        <v>3.1808267532345808E-2</v>
      </c>
      <c r="W85" s="2"/>
      <c r="X85" s="2">
        <f t="shared" si="18"/>
        <v>-76596.030000000028</v>
      </c>
      <c r="Y85" s="2"/>
      <c r="Z85" s="6">
        <f t="shared" si="19"/>
        <v>-0.23908913555121339</v>
      </c>
    </row>
    <row r="86" spans="1:26" s="70" customFormat="1" ht="15" hidden="1" customHeight="1" outlineLevel="2" x14ac:dyDescent="0.3">
      <c r="A86" s="26"/>
      <c r="B86" s="12" t="str">
        <f>CONCATENATE("          ","6282"," - ","JANITORIAL/EXTERMINATOR EXPENS")</f>
        <v xml:space="preserve">          6282 - JANITORIAL/EXTERMINATOR EXPENS</v>
      </c>
      <c r="C86" s="12"/>
      <c r="D86" s="7">
        <v>2452.8000000000002</v>
      </c>
      <c r="E86" s="3"/>
      <c r="F86" s="8">
        <f t="shared" si="12"/>
        <v>1.2124042897936303E-3</v>
      </c>
      <c r="G86" s="3"/>
      <c r="H86" s="7">
        <v>2698</v>
      </c>
      <c r="I86" s="3"/>
      <c r="J86" s="8">
        <f t="shared" si="13"/>
        <v>1.8292889639227332E-3</v>
      </c>
      <c r="K86" s="3"/>
      <c r="L86" s="7">
        <f t="shared" si="14"/>
        <v>-245.19999999999982</v>
      </c>
      <c r="M86" s="3"/>
      <c r="N86" s="8">
        <f t="shared" si="15"/>
        <v>-9.0882134914751597E-2</v>
      </c>
      <c r="O86" s="12"/>
      <c r="P86" s="7">
        <v>28001.93</v>
      </c>
      <c r="Q86" s="3"/>
      <c r="R86" s="8">
        <f t="shared" si="16"/>
        <v>2.2735150689031777E-3</v>
      </c>
      <c r="S86" s="3"/>
      <c r="T86" s="7">
        <v>26880</v>
      </c>
      <c r="U86" s="3"/>
      <c r="V86" s="8">
        <f t="shared" si="17"/>
        <v>2.6688419846970508E-3</v>
      </c>
      <c r="W86" s="3"/>
      <c r="X86" s="7">
        <f t="shared" si="18"/>
        <v>1121.9300000000003</v>
      </c>
      <c r="Y86" s="3"/>
      <c r="Z86" s="8">
        <f t="shared" si="19"/>
        <v>4.173846726190477E-2</v>
      </c>
    </row>
    <row r="87" spans="1:26" s="70" customFormat="1" ht="15" hidden="1" customHeight="1" outlineLevel="2" x14ac:dyDescent="0.3">
      <c r="A87" s="26"/>
      <c r="B87" s="12" t="str">
        <f>CONCATENATE("          ","6283"," - ","PLANT SERVICE")</f>
        <v xml:space="preserve">          6283 - PLANT SERVICE</v>
      </c>
      <c r="C87" s="12"/>
      <c r="D87" s="7"/>
      <c r="E87" s="3"/>
      <c r="F87" s="8">
        <f t="shared" si="12"/>
        <v>0</v>
      </c>
      <c r="G87" s="3"/>
      <c r="H87" s="7">
        <v>100</v>
      </c>
      <c r="I87" s="3"/>
      <c r="J87" s="8">
        <f t="shared" si="13"/>
        <v>6.7801666564964164E-5</v>
      </c>
      <c r="K87" s="3"/>
      <c r="L87" s="7">
        <f t="shared" si="14"/>
        <v>-100</v>
      </c>
      <c r="M87" s="3"/>
      <c r="N87" s="8">
        <f t="shared" si="15"/>
        <v>-1</v>
      </c>
      <c r="O87" s="12"/>
      <c r="P87" s="7"/>
      <c r="Q87" s="3"/>
      <c r="R87" s="8">
        <f t="shared" si="16"/>
        <v>0</v>
      </c>
      <c r="S87" s="3"/>
      <c r="T87" s="7">
        <v>1000</v>
      </c>
      <c r="U87" s="3"/>
      <c r="V87" s="8">
        <f t="shared" si="17"/>
        <v>9.9287276216408131E-5</v>
      </c>
      <c r="W87" s="3"/>
      <c r="X87" s="7">
        <f t="shared" si="18"/>
        <v>-1000</v>
      </c>
      <c r="Y87" s="3"/>
      <c r="Z87" s="8">
        <f t="shared" si="19"/>
        <v>-1</v>
      </c>
    </row>
    <row r="88" spans="1:26" s="70" customFormat="1" ht="15" hidden="1" customHeight="1" outlineLevel="2" x14ac:dyDescent="0.3">
      <c r="A88" s="26"/>
      <c r="B88" s="12" t="str">
        <f>CONCATENATE("          ","6284"," - ","TRASH REMOVAL EXPENSE")</f>
        <v xml:space="preserve">          6284 - TRASH REMOVAL EXPENSE</v>
      </c>
      <c r="C88" s="12"/>
      <c r="D88" s="7"/>
      <c r="E88" s="3"/>
      <c r="F88" s="8">
        <f t="shared" si="12"/>
        <v>0</v>
      </c>
      <c r="G88" s="3"/>
      <c r="H88" s="7">
        <v>1600</v>
      </c>
      <c r="I88" s="3"/>
      <c r="J88" s="8">
        <f t="shared" si="13"/>
        <v>1.0848266650394266E-3</v>
      </c>
      <c r="K88" s="3"/>
      <c r="L88" s="7">
        <f t="shared" si="14"/>
        <v>-1600</v>
      </c>
      <c r="M88" s="3"/>
      <c r="N88" s="8">
        <f t="shared" si="15"/>
        <v>-1</v>
      </c>
      <c r="O88" s="12"/>
      <c r="P88" s="7"/>
      <c r="Q88" s="3"/>
      <c r="R88" s="8">
        <f t="shared" si="16"/>
        <v>0</v>
      </c>
      <c r="S88" s="3"/>
      <c r="T88" s="7">
        <v>16000</v>
      </c>
      <c r="U88" s="3"/>
      <c r="V88" s="8">
        <f t="shared" si="17"/>
        <v>1.5885964194625301E-3</v>
      </c>
      <c r="W88" s="3"/>
      <c r="X88" s="7">
        <f t="shared" si="18"/>
        <v>-16000</v>
      </c>
      <c r="Y88" s="3"/>
      <c r="Z88" s="8">
        <f t="shared" si="19"/>
        <v>-1</v>
      </c>
    </row>
    <row r="89" spans="1:26" s="70" customFormat="1" ht="15" hidden="1" customHeight="1" outlineLevel="2" x14ac:dyDescent="0.3">
      <c r="A89" s="26"/>
      <c r="B89" s="12" t="str">
        <f>CONCATENATE("          ","6285"," - ","JANITORIAL SERVICES")</f>
        <v xml:space="preserve">          6285 - JANITORIAL SERVICES</v>
      </c>
      <c r="C89" s="12"/>
      <c r="D89" s="7">
        <v>18546.52</v>
      </c>
      <c r="E89" s="3"/>
      <c r="F89" s="8">
        <f t="shared" si="12"/>
        <v>9.1674333042821923E-3</v>
      </c>
      <c r="G89" s="3"/>
      <c r="H89" s="7">
        <v>23958</v>
      </c>
      <c r="I89" s="3"/>
      <c r="J89" s="8">
        <f t="shared" si="13"/>
        <v>1.6243923275634117E-2</v>
      </c>
      <c r="K89" s="3"/>
      <c r="L89" s="7">
        <f t="shared" si="14"/>
        <v>-5411.48</v>
      </c>
      <c r="M89" s="3"/>
      <c r="N89" s="8">
        <f t="shared" si="15"/>
        <v>-0.22587361215460386</v>
      </c>
      <c r="O89" s="12"/>
      <c r="P89" s="7">
        <v>181395.09</v>
      </c>
      <c r="Q89" s="3"/>
      <c r="R89" s="8">
        <f t="shared" si="16"/>
        <v>1.4727715930296524E-2</v>
      </c>
      <c r="S89" s="3"/>
      <c r="T89" s="7">
        <v>224253</v>
      </c>
      <c r="U89" s="3"/>
      <c r="V89" s="8">
        <f t="shared" si="17"/>
        <v>2.2265469553358175E-2</v>
      </c>
      <c r="W89" s="3"/>
      <c r="X89" s="7">
        <f t="shared" si="18"/>
        <v>-42857.91</v>
      </c>
      <c r="Y89" s="3"/>
      <c r="Z89" s="8">
        <f t="shared" si="19"/>
        <v>-0.19111409880804273</v>
      </c>
    </row>
    <row r="90" spans="1:26" s="70" customFormat="1" ht="15" hidden="1" customHeight="1" outlineLevel="2" x14ac:dyDescent="0.3">
      <c r="A90" s="26"/>
      <c r="B90" s="12" t="str">
        <f>CONCATENATE("          ","6286"," - ","LAUNDRY EXPENSE")</f>
        <v xml:space="preserve">          6286 - LAUNDRY EXPENSE</v>
      </c>
      <c r="C90" s="12"/>
      <c r="D90" s="7">
        <v>6470.8</v>
      </c>
      <c r="E90" s="3"/>
      <c r="F90" s="8">
        <f t="shared" si="12"/>
        <v>3.1984775270697255E-3</v>
      </c>
      <c r="G90" s="3"/>
      <c r="H90" s="7">
        <v>5442</v>
      </c>
      <c r="I90" s="3"/>
      <c r="J90" s="8">
        <f t="shared" si="13"/>
        <v>3.6897666944653499E-3</v>
      </c>
      <c r="K90" s="3"/>
      <c r="L90" s="7">
        <f t="shared" si="14"/>
        <v>1028.8000000000002</v>
      </c>
      <c r="M90" s="3"/>
      <c r="N90" s="8">
        <f t="shared" si="15"/>
        <v>0.18904814406468212</v>
      </c>
      <c r="O90" s="12"/>
      <c r="P90" s="7">
        <v>34372.949999999997</v>
      </c>
      <c r="Q90" s="3"/>
      <c r="R90" s="8">
        <f t="shared" si="16"/>
        <v>2.7907869131754662E-3</v>
      </c>
      <c r="S90" s="3"/>
      <c r="T90" s="7">
        <v>52233</v>
      </c>
      <c r="U90" s="3"/>
      <c r="V90" s="8">
        <f t="shared" si="17"/>
        <v>5.1860722986116457E-3</v>
      </c>
      <c r="W90" s="3"/>
      <c r="X90" s="7">
        <f t="shared" si="18"/>
        <v>-17860.050000000003</v>
      </c>
      <c r="Y90" s="3"/>
      <c r="Z90" s="8">
        <f t="shared" si="19"/>
        <v>-0.34193038883464483</v>
      </c>
    </row>
    <row r="91" spans="1:26" s="69" customFormat="1" ht="15" customHeight="1" outlineLevel="1" collapsed="1" x14ac:dyDescent="0.3">
      <c r="A91" s="25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2">
        <f>SUM(OSRRefD22_17x_0)</f>
        <v>560.5</v>
      </c>
      <c r="E91" s="2"/>
      <c r="F91" s="6">
        <f t="shared" si="12"/>
        <v>2.7705177936616508E-4</v>
      </c>
      <c r="G91" s="2"/>
      <c r="H91" s="2">
        <f>SUM(OSRRefH22_17x_0)</f>
        <v>610</v>
      </c>
      <c r="I91" s="2"/>
      <c r="J91" s="6">
        <f t="shared" si="13"/>
        <v>4.1359016604628141E-4</v>
      </c>
      <c r="K91" s="2"/>
      <c r="L91" s="2">
        <f t="shared" si="14"/>
        <v>-49.5</v>
      </c>
      <c r="M91" s="2"/>
      <c r="N91" s="6">
        <f t="shared" si="15"/>
        <v>-8.1147540983606561E-2</v>
      </c>
      <c r="O91" s="14"/>
      <c r="P91" s="2">
        <f>SUM(OSRRefP22_17x_0)</f>
        <v>6407.4</v>
      </c>
      <c r="Q91" s="2"/>
      <c r="R91" s="6">
        <f t="shared" si="16"/>
        <v>5.2022558632530756E-4</v>
      </c>
      <c r="S91" s="2"/>
      <c r="T91" s="2">
        <f>SUM(OSRRefT22_17x_0)</f>
        <v>6665</v>
      </c>
      <c r="U91" s="2"/>
      <c r="V91" s="6">
        <f t="shared" si="17"/>
        <v>6.6174969598236017E-4</v>
      </c>
      <c r="W91" s="2"/>
      <c r="X91" s="2">
        <f t="shared" si="18"/>
        <v>-257.60000000000036</v>
      </c>
      <c r="Y91" s="2"/>
      <c r="Z91" s="6">
        <f t="shared" si="19"/>
        <v>-3.8649662415603955E-2</v>
      </c>
    </row>
    <row r="92" spans="1:26" s="70" customFormat="1" ht="15" hidden="1" customHeight="1" outlineLevel="2" x14ac:dyDescent="0.3">
      <c r="A92" s="26"/>
      <c r="B92" s="12" t="str">
        <f>CONCATENATE("          ","6258"," - ","MEMBERSHIP DUES")</f>
        <v xml:space="preserve">          6258 - MEMBERSHIP DUES</v>
      </c>
      <c r="C92" s="12"/>
      <c r="D92" s="7"/>
      <c r="E92" s="3"/>
      <c r="F92" s="8">
        <f t="shared" si="12"/>
        <v>0</v>
      </c>
      <c r="G92" s="3"/>
      <c r="H92" s="7"/>
      <c r="I92" s="3"/>
      <c r="J92" s="8">
        <f t="shared" si="13"/>
        <v>0</v>
      </c>
      <c r="K92" s="3"/>
      <c r="L92" s="7">
        <f t="shared" si="14"/>
        <v>0</v>
      </c>
      <c r="M92" s="3"/>
      <c r="N92" s="8">
        <f t="shared" si="15"/>
        <v>0</v>
      </c>
      <c r="O92" s="12"/>
      <c r="P92" s="7"/>
      <c r="Q92" s="3"/>
      <c r="R92" s="8">
        <f t="shared" si="16"/>
        <v>0</v>
      </c>
      <c r="S92" s="3"/>
      <c r="T92" s="7">
        <v>795</v>
      </c>
      <c r="U92" s="3"/>
      <c r="V92" s="8">
        <f t="shared" si="17"/>
        <v>7.8933384592044461E-5</v>
      </c>
      <c r="W92" s="3"/>
      <c r="X92" s="7">
        <f t="shared" si="18"/>
        <v>-795</v>
      </c>
      <c r="Y92" s="3"/>
      <c r="Z92" s="8">
        <f t="shared" si="19"/>
        <v>-1</v>
      </c>
    </row>
    <row r="93" spans="1:26" s="70" customFormat="1" ht="15" hidden="1" customHeight="1" outlineLevel="2" x14ac:dyDescent="0.3">
      <c r="A93" s="26"/>
      <c r="B93" s="12" t="str">
        <f>CONCATENATE("          ","6275"," - ","SUBSCRIPTIONS")</f>
        <v xml:space="preserve">          6275 - SUBSCRIPTIONS</v>
      </c>
      <c r="C93" s="12"/>
      <c r="D93" s="7">
        <v>560.5</v>
      </c>
      <c r="E93" s="3"/>
      <c r="F93" s="8">
        <f t="shared" ref="F93:F114" si="20">IF(D$12=0,0,D93/D$12)</f>
        <v>2.7705177936616508E-4</v>
      </c>
      <c r="G93" s="3"/>
      <c r="H93" s="7">
        <v>610</v>
      </c>
      <c r="I93" s="3"/>
      <c r="J93" s="8">
        <f t="shared" ref="J93:J114" si="21">IF(H$12=0,0,H93/H$12)</f>
        <v>4.1359016604628141E-4</v>
      </c>
      <c r="K93" s="3"/>
      <c r="L93" s="7">
        <f t="shared" ref="L93:L114" si="22">+D93-H93</f>
        <v>-49.5</v>
      </c>
      <c r="M93" s="3"/>
      <c r="N93" s="8">
        <f t="shared" ref="N93:N114" si="23">IF(H93=0,0,L93/H93)</f>
        <v>-8.1147540983606561E-2</v>
      </c>
      <c r="O93" s="12"/>
      <c r="P93" s="7">
        <v>6407.4</v>
      </c>
      <c r="Q93" s="3"/>
      <c r="R93" s="8">
        <f t="shared" ref="R93:R114" si="24">IF(P$12=0,0,P93/P$12)</f>
        <v>5.2022558632530756E-4</v>
      </c>
      <c r="S93" s="3"/>
      <c r="T93" s="7">
        <v>5870</v>
      </c>
      <c r="U93" s="3"/>
      <c r="V93" s="8">
        <f t="shared" ref="V93:V114" si="25">IF(T$12=0,0,T93/T$12)</f>
        <v>5.8281631139031577E-4</v>
      </c>
      <c r="W93" s="3"/>
      <c r="X93" s="7">
        <f t="shared" ref="X93:X114" si="26">+P93-T93</f>
        <v>537.39999999999964</v>
      </c>
      <c r="Y93" s="3"/>
      <c r="Z93" s="8">
        <f t="shared" ref="Z93:Z114" si="27">IF(T93=0,0,X93/T93)</f>
        <v>9.1550255536626851E-2</v>
      </c>
    </row>
    <row r="94" spans="1:26" s="69" customFormat="1" ht="15" customHeight="1" outlineLevel="1" collapsed="1" x14ac:dyDescent="0.3">
      <c r="A94" s="25"/>
      <c r="B94" s="14" t="str">
        <f>CONCATENATE("     ","Supplies                                          ")</f>
        <v xml:space="preserve">     Supplies                                          </v>
      </c>
      <c r="C94" s="14"/>
      <c r="D94" s="2">
        <f>SUM(OSRRefD22_18x_0)</f>
        <v>46112.7</v>
      </c>
      <c r="E94" s="2"/>
      <c r="F94" s="6">
        <f t="shared" si="20"/>
        <v>2.2793230305759429E-2</v>
      </c>
      <c r="G94" s="2"/>
      <c r="H94" s="2">
        <f>SUM(OSRRefH22_18x_0)</f>
        <v>30475</v>
      </c>
      <c r="I94" s="2"/>
      <c r="J94" s="6">
        <f t="shared" si="21"/>
        <v>2.0662557885672828E-2</v>
      </c>
      <c r="K94" s="2"/>
      <c r="L94" s="2">
        <f t="shared" si="22"/>
        <v>15637.699999999997</v>
      </c>
      <c r="M94" s="2"/>
      <c r="N94" s="6">
        <f t="shared" si="23"/>
        <v>0.51313207547169803</v>
      </c>
      <c r="O94" s="14"/>
      <c r="P94" s="2">
        <f>SUM(OSRRefP22_18x_0)</f>
        <v>342794.40000000008</v>
      </c>
      <c r="Q94" s="2"/>
      <c r="R94" s="6">
        <f t="shared" si="24"/>
        <v>2.7831947081348452E-2</v>
      </c>
      <c r="S94" s="2"/>
      <c r="T94" s="2">
        <f>SUM(OSRRefT22_18x_0)</f>
        <v>331248</v>
      </c>
      <c r="U94" s="2"/>
      <c r="V94" s="6">
        <f t="shared" si="25"/>
        <v>3.288871167213276E-2</v>
      </c>
      <c r="W94" s="2"/>
      <c r="X94" s="2">
        <f t="shared" si="26"/>
        <v>11546.400000000081</v>
      </c>
      <c r="Y94" s="2"/>
      <c r="Z94" s="6">
        <f t="shared" si="27"/>
        <v>3.4857267062744779E-2</v>
      </c>
    </row>
    <row r="95" spans="1:26" s="70" customFormat="1" ht="15" hidden="1" customHeight="1" outlineLevel="2" x14ac:dyDescent="0.3">
      <c r="A95" s="26"/>
      <c r="B95" s="12" t="str">
        <f>CONCATENATE("          ","6234"," - ","EXPENDABLE SUPPLIES &amp; EQUIPMEN")</f>
        <v xml:space="preserve">          6234 - EXPENDABLE SUPPLIES &amp; EQUIPMEN</v>
      </c>
      <c r="C95" s="12"/>
      <c r="D95" s="7">
        <v>175.34</v>
      </c>
      <c r="E95" s="3"/>
      <c r="F95" s="8">
        <f t="shared" si="20"/>
        <v>8.6669507571923978E-5</v>
      </c>
      <c r="G95" s="3"/>
      <c r="H95" s="7">
        <v>342</v>
      </c>
      <c r="I95" s="3"/>
      <c r="J95" s="8">
        <f t="shared" si="21"/>
        <v>2.3188169965217745E-4</v>
      </c>
      <c r="K95" s="3"/>
      <c r="L95" s="7">
        <f t="shared" si="22"/>
        <v>-166.66</v>
      </c>
      <c r="M95" s="3"/>
      <c r="N95" s="8">
        <f t="shared" si="23"/>
        <v>-0.4873099415204678</v>
      </c>
      <c r="O95" s="12"/>
      <c r="P95" s="7">
        <v>678.82</v>
      </c>
      <c r="Q95" s="3"/>
      <c r="R95" s="8">
        <f t="shared" si="24"/>
        <v>5.5114326015130217E-5</v>
      </c>
      <c r="S95" s="3"/>
      <c r="T95" s="7">
        <v>3420</v>
      </c>
      <c r="U95" s="3"/>
      <c r="V95" s="8">
        <f t="shared" si="25"/>
        <v>3.3956248466011582E-4</v>
      </c>
      <c r="W95" s="3"/>
      <c r="X95" s="7">
        <f t="shared" si="26"/>
        <v>-2741.18</v>
      </c>
      <c r="Y95" s="3"/>
      <c r="Z95" s="8">
        <f t="shared" si="27"/>
        <v>-0.80151461988304085</v>
      </c>
    </row>
    <row r="96" spans="1:26" s="70" customFormat="1" ht="15" hidden="1" customHeight="1" outlineLevel="2" x14ac:dyDescent="0.3">
      <c r="A96" s="26"/>
      <c r="B96" s="12" t="str">
        <f>CONCATENATE("          ","6235"," - ","COVID-19 EXPENSES")</f>
        <v xml:space="preserve">          6235 - COVID-19 EXPENSES</v>
      </c>
      <c r="C96" s="12"/>
      <c r="D96" s="7"/>
      <c r="E96" s="3"/>
      <c r="F96" s="8">
        <f t="shared" si="20"/>
        <v>0</v>
      </c>
      <c r="G96" s="3"/>
      <c r="H96" s="7">
        <v>250</v>
      </c>
      <c r="I96" s="3"/>
      <c r="J96" s="8">
        <f t="shared" si="21"/>
        <v>1.6950416641241042E-4</v>
      </c>
      <c r="K96" s="3"/>
      <c r="L96" s="7">
        <f t="shared" si="22"/>
        <v>-250</v>
      </c>
      <c r="M96" s="3"/>
      <c r="N96" s="8">
        <f t="shared" si="23"/>
        <v>-1</v>
      </c>
      <c r="O96" s="12"/>
      <c r="P96" s="7">
        <v>777.84</v>
      </c>
      <c r="Q96" s="3"/>
      <c r="R96" s="8">
        <f t="shared" si="24"/>
        <v>6.3153895506332875E-5</v>
      </c>
      <c r="S96" s="3"/>
      <c r="T96" s="7">
        <v>2750</v>
      </c>
      <c r="U96" s="3"/>
      <c r="V96" s="8">
        <f t="shared" si="25"/>
        <v>2.7304000959512239E-4</v>
      </c>
      <c r="W96" s="3"/>
      <c r="X96" s="7">
        <f t="shared" si="26"/>
        <v>-1972.1599999999999</v>
      </c>
      <c r="Y96" s="3"/>
      <c r="Z96" s="8">
        <f t="shared" si="27"/>
        <v>-0.71714909090909085</v>
      </c>
    </row>
    <row r="97" spans="1:26" s="70" customFormat="1" ht="15" hidden="1" customHeight="1" outlineLevel="2" x14ac:dyDescent="0.3">
      <c r="A97" s="26"/>
      <c r="B97" s="12" t="str">
        <f>CONCATENATE("          ","6237"," - ","JANITORIAL SUPPLIES")</f>
        <v xml:space="preserve">          6237 - JANITORIAL SUPPLIES</v>
      </c>
      <c r="C97" s="12"/>
      <c r="D97" s="7">
        <v>23907.66</v>
      </c>
      <c r="E97" s="3"/>
      <c r="F97" s="8">
        <f t="shared" si="20"/>
        <v>1.1817412566425141E-2</v>
      </c>
      <c r="G97" s="3"/>
      <c r="H97" s="7">
        <v>9975</v>
      </c>
      <c r="I97" s="3"/>
      <c r="J97" s="8">
        <f t="shared" si="21"/>
        <v>6.7632162398551755E-3</v>
      </c>
      <c r="K97" s="3"/>
      <c r="L97" s="7">
        <f t="shared" si="22"/>
        <v>13932.66</v>
      </c>
      <c r="M97" s="3"/>
      <c r="N97" s="8">
        <f t="shared" si="23"/>
        <v>1.3967578947368422</v>
      </c>
      <c r="O97" s="12"/>
      <c r="P97" s="7">
        <v>79728.08</v>
      </c>
      <c r="Q97" s="3"/>
      <c r="R97" s="8">
        <f t="shared" si="24"/>
        <v>6.4732320698865425E-3</v>
      </c>
      <c r="S97" s="3"/>
      <c r="T97" s="7">
        <v>104228</v>
      </c>
      <c r="U97" s="3"/>
      <c r="V97" s="8">
        <f t="shared" si="25"/>
        <v>1.0348514225483788E-2</v>
      </c>
      <c r="W97" s="3"/>
      <c r="X97" s="7">
        <f t="shared" si="26"/>
        <v>-24499.919999999998</v>
      </c>
      <c r="Y97" s="3"/>
      <c r="Z97" s="8">
        <f t="shared" si="27"/>
        <v>-0.23506082818436502</v>
      </c>
    </row>
    <row r="98" spans="1:26" s="70" customFormat="1" ht="15" hidden="1" customHeight="1" outlineLevel="2" x14ac:dyDescent="0.3">
      <c r="A98" s="26"/>
      <c r="B98" s="12" t="str">
        <f>CONCATENATE("          ","6239"," - ","KITCHEN SUPPLIES")</f>
        <v xml:space="preserve">          6239 - KITCHEN SUPPLIES</v>
      </c>
      <c r="C98" s="12"/>
      <c r="D98" s="7">
        <v>8107.13</v>
      </c>
      <c r="E98" s="3"/>
      <c r="F98" s="8">
        <f t="shared" si="20"/>
        <v>4.0073056058034223E-3</v>
      </c>
      <c r="G98" s="3"/>
      <c r="H98" s="7">
        <v>3300</v>
      </c>
      <c r="I98" s="3"/>
      <c r="J98" s="8">
        <f t="shared" si="21"/>
        <v>2.2374549966438177E-3</v>
      </c>
      <c r="K98" s="3"/>
      <c r="L98" s="7">
        <f t="shared" si="22"/>
        <v>4807.13</v>
      </c>
      <c r="M98" s="3"/>
      <c r="N98" s="8">
        <f t="shared" si="23"/>
        <v>1.4567060606060607</v>
      </c>
      <c r="O98" s="12"/>
      <c r="P98" s="7">
        <v>44626</v>
      </c>
      <c r="Q98" s="3"/>
      <c r="R98" s="8">
        <f t="shared" si="24"/>
        <v>3.6232460928540718E-3</v>
      </c>
      <c r="S98" s="3"/>
      <c r="T98" s="7">
        <v>47449</v>
      </c>
      <c r="U98" s="3"/>
      <c r="V98" s="8">
        <f t="shared" si="25"/>
        <v>4.7110819691923494E-3</v>
      </c>
      <c r="W98" s="3"/>
      <c r="X98" s="7">
        <f t="shared" si="26"/>
        <v>-2823</v>
      </c>
      <c r="Y98" s="3"/>
      <c r="Z98" s="8">
        <f t="shared" si="27"/>
        <v>-5.949545828152332E-2</v>
      </c>
    </row>
    <row r="99" spans="1:26" s="70" customFormat="1" ht="15" hidden="1" customHeight="1" outlineLevel="2" x14ac:dyDescent="0.3">
      <c r="A99" s="26"/>
      <c r="B99" s="12" t="str">
        <f>CONCATENATE("          ","6241"," - ","OFFICE EXPENSE")</f>
        <v xml:space="preserve">          6241 - OFFICE EXPENSE</v>
      </c>
      <c r="C99" s="12"/>
      <c r="D99" s="7">
        <v>102.34</v>
      </c>
      <c r="E99" s="3"/>
      <c r="F99" s="8">
        <f t="shared" si="20"/>
        <v>5.0586046566161171E-5</v>
      </c>
      <c r="G99" s="3"/>
      <c r="H99" s="7">
        <v>1445</v>
      </c>
      <c r="I99" s="3"/>
      <c r="J99" s="8">
        <f t="shared" si="21"/>
        <v>9.7973408186373227E-4</v>
      </c>
      <c r="K99" s="3"/>
      <c r="L99" s="7">
        <f t="shared" si="22"/>
        <v>-1342.66</v>
      </c>
      <c r="M99" s="3"/>
      <c r="N99" s="8">
        <f t="shared" si="23"/>
        <v>-0.92917647058823538</v>
      </c>
      <c r="O99" s="12"/>
      <c r="P99" s="7">
        <v>24574.74</v>
      </c>
      <c r="Q99" s="3"/>
      <c r="R99" s="8">
        <f t="shared" si="24"/>
        <v>1.9952568163829308E-3</v>
      </c>
      <c r="S99" s="3"/>
      <c r="T99" s="7">
        <v>17627</v>
      </c>
      <c r="U99" s="3"/>
      <c r="V99" s="8">
        <f t="shared" si="25"/>
        <v>1.7501368178666262E-3</v>
      </c>
      <c r="W99" s="3"/>
      <c r="X99" s="7">
        <f t="shared" si="26"/>
        <v>6947.7400000000016</v>
      </c>
      <c r="Y99" s="3"/>
      <c r="Z99" s="8">
        <f t="shared" si="27"/>
        <v>0.3941532875702049</v>
      </c>
    </row>
    <row r="100" spans="1:26" s="70" customFormat="1" ht="15" hidden="1" customHeight="1" outlineLevel="2" x14ac:dyDescent="0.3">
      <c r="A100" s="26"/>
      <c r="B100" s="12" t="str">
        <f>CONCATENATE("          ","6243"," - ","PAPER SUPPLIES")</f>
        <v xml:space="preserve">          6243 - PAPER SUPPLIES</v>
      </c>
      <c r="C100" s="12"/>
      <c r="D100" s="7">
        <v>13725.13</v>
      </c>
      <c r="E100" s="3"/>
      <c r="F100" s="8">
        <f t="shared" si="20"/>
        <v>6.7842492212880166E-3</v>
      </c>
      <c r="G100" s="3"/>
      <c r="H100" s="7">
        <v>13900</v>
      </c>
      <c r="I100" s="3"/>
      <c r="J100" s="8">
        <f t="shared" si="21"/>
        <v>9.4244316525300183E-3</v>
      </c>
      <c r="K100" s="3"/>
      <c r="L100" s="7">
        <f t="shared" si="22"/>
        <v>-174.8700000000008</v>
      </c>
      <c r="M100" s="3"/>
      <c r="N100" s="8">
        <f t="shared" si="23"/>
        <v>-1.2580575539568402E-2</v>
      </c>
      <c r="O100" s="12"/>
      <c r="P100" s="7">
        <v>179154.94</v>
      </c>
      <c r="Q100" s="3"/>
      <c r="R100" s="8">
        <f t="shared" si="24"/>
        <v>1.4545835082026299E-2</v>
      </c>
      <c r="S100" s="3"/>
      <c r="T100" s="7">
        <v>138433</v>
      </c>
      <c r="U100" s="3"/>
      <c r="V100" s="8">
        <f t="shared" si="25"/>
        <v>1.3744635508466028E-2</v>
      </c>
      <c r="W100" s="3"/>
      <c r="X100" s="7">
        <f t="shared" si="26"/>
        <v>40721.94</v>
      </c>
      <c r="Y100" s="3"/>
      <c r="Z100" s="8">
        <f t="shared" si="27"/>
        <v>0.29416353037209336</v>
      </c>
    </row>
    <row r="101" spans="1:26" s="70" customFormat="1" ht="15" hidden="1" customHeight="1" outlineLevel="2" x14ac:dyDescent="0.3">
      <c r="A101" s="26"/>
      <c r="B101" s="12" t="str">
        <f>CONCATENATE("          ","6244"," - ","SAFETY SUPPLY EXPENSE")</f>
        <v xml:space="preserve">          6244 - SAFETY SUPPLY EXPENSE</v>
      </c>
      <c r="C101" s="12"/>
      <c r="D101" s="7"/>
      <c r="E101" s="3"/>
      <c r="F101" s="8">
        <f t="shared" si="20"/>
        <v>0</v>
      </c>
      <c r="G101" s="3"/>
      <c r="H101" s="7">
        <v>575</v>
      </c>
      <c r="I101" s="3"/>
      <c r="J101" s="8">
        <f t="shared" si="21"/>
        <v>3.8985958274854397E-4</v>
      </c>
      <c r="K101" s="3"/>
      <c r="L101" s="7">
        <f t="shared" si="22"/>
        <v>-575</v>
      </c>
      <c r="M101" s="3"/>
      <c r="N101" s="8">
        <f t="shared" si="23"/>
        <v>-1</v>
      </c>
      <c r="O101" s="12"/>
      <c r="P101" s="7"/>
      <c r="Q101" s="3"/>
      <c r="R101" s="8">
        <f t="shared" si="24"/>
        <v>0</v>
      </c>
      <c r="S101" s="3"/>
      <c r="T101" s="7">
        <v>5400</v>
      </c>
      <c r="U101" s="3"/>
      <c r="V101" s="8">
        <f t="shared" si="25"/>
        <v>5.3615129156860391E-4</v>
      </c>
      <c r="W101" s="3"/>
      <c r="X101" s="7">
        <f t="shared" si="26"/>
        <v>-5400</v>
      </c>
      <c r="Y101" s="3"/>
      <c r="Z101" s="8">
        <f t="shared" si="27"/>
        <v>-1</v>
      </c>
    </row>
    <row r="102" spans="1:26" s="70" customFormat="1" ht="15" hidden="1" customHeight="1" outlineLevel="2" x14ac:dyDescent="0.3">
      <c r="A102" s="26"/>
      <c r="B102" s="12" t="str">
        <f>CONCATENATE("          ","6245"," - ","PRINTING")</f>
        <v xml:space="preserve">          6245 - PRINTING</v>
      </c>
      <c r="C102" s="12"/>
      <c r="D102" s="7"/>
      <c r="E102" s="3"/>
      <c r="F102" s="8">
        <f t="shared" si="20"/>
        <v>0</v>
      </c>
      <c r="G102" s="3"/>
      <c r="H102" s="7">
        <v>100</v>
      </c>
      <c r="I102" s="3"/>
      <c r="J102" s="8">
        <f t="shared" si="21"/>
        <v>6.7801666564964164E-5</v>
      </c>
      <c r="K102" s="3"/>
      <c r="L102" s="7">
        <f t="shared" si="22"/>
        <v>-100</v>
      </c>
      <c r="M102" s="3"/>
      <c r="N102" s="8">
        <f t="shared" si="23"/>
        <v>-1</v>
      </c>
      <c r="O102" s="12"/>
      <c r="P102" s="7">
        <v>1071</v>
      </c>
      <c r="Q102" s="3"/>
      <c r="R102" s="8">
        <f t="shared" si="24"/>
        <v>8.695595763560952E-5</v>
      </c>
      <c r="S102" s="3"/>
      <c r="T102" s="7">
        <v>1800</v>
      </c>
      <c r="U102" s="3"/>
      <c r="V102" s="8">
        <f t="shared" si="25"/>
        <v>1.7871709718953464E-4</v>
      </c>
      <c r="W102" s="3"/>
      <c r="X102" s="7">
        <f t="shared" si="26"/>
        <v>-729</v>
      </c>
      <c r="Y102" s="3"/>
      <c r="Z102" s="8">
        <f t="shared" si="27"/>
        <v>-0.40500000000000003</v>
      </c>
    </row>
    <row r="103" spans="1:26" s="70" customFormat="1" ht="15" hidden="1" customHeight="1" outlineLevel="2" x14ac:dyDescent="0.3">
      <c r="A103" s="26"/>
      <c r="B103" s="12" t="str">
        <f>CONCATENATE("          ","6247"," - ","STORE SUPPLIES")</f>
        <v xml:space="preserve">          6247 - STORE SUPPLIES</v>
      </c>
      <c r="C103" s="12"/>
      <c r="D103" s="7">
        <v>-103.35</v>
      </c>
      <c r="E103" s="3"/>
      <c r="F103" s="8">
        <f t="shared" si="20"/>
        <v>-5.1085283492405288E-5</v>
      </c>
      <c r="G103" s="3"/>
      <c r="H103" s="7"/>
      <c r="I103" s="3"/>
      <c r="J103" s="8">
        <f t="shared" si="21"/>
        <v>0</v>
      </c>
      <c r="K103" s="3"/>
      <c r="L103" s="7">
        <f t="shared" si="22"/>
        <v>-103.35</v>
      </c>
      <c r="M103" s="3"/>
      <c r="N103" s="8">
        <f t="shared" si="23"/>
        <v>0</v>
      </c>
      <c r="O103" s="12"/>
      <c r="P103" s="7">
        <v>2651.14</v>
      </c>
      <c r="Q103" s="3"/>
      <c r="R103" s="8">
        <f t="shared" si="24"/>
        <v>2.1524968956682523E-4</v>
      </c>
      <c r="S103" s="3"/>
      <c r="T103" s="7">
        <v>411</v>
      </c>
      <c r="U103" s="3"/>
      <c r="V103" s="8">
        <f t="shared" si="25"/>
        <v>4.0807070524943745E-5</v>
      </c>
      <c r="W103" s="3"/>
      <c r="X103" s="7">
        <f t="shared" si="26"/>
        <v>2240.14</v>
      </c>
      <c r="Y103" s="3"/>
      <c r="Z103" s="8">
        <f t="shared" si="27"/>
        <v>5.4504622871046227</v>
      </c>
    </row>
    <row r="104" spans="1:26" s="70" customFormat="1" ht="15" hidden="1" customHeight="1" outlineLevel="2" x14ac:dyDescent="0.3">
      <c r="A104" s="26"/>
      <c r="B104" s="12" t="str">
        <f>CONCATENATE("          ","6248"," - ","UNIFORMS")</f>
        <v xml:space="preserve">          6248 - UNIFORMS</v>
      </c>
      <c r="C104" s="12"/>
      <c r="D104" s="7">
        <v>198.45</v>
      </c>
      <c r="E104" s="3"/>
      <c r="F104" s="8">
        <f t="shared" si="20"/>
        <v>9.8092641597172995E-5</v>
      </c>
      <c r="G104" s="3"/>
      <c r="H104" s="7">
        <v>588</v>
      </c>
      <c r="I104" s="3"/>
      <c r="J104" s="8">
        <f t="shared" si="21"/>
        <v>3.9867379940198932E-4</v>
      </c>
      <c r="K104" s="3"/>
      <c r="L104" s="7">
        <f t="shared" si="22"/>
        <v>-389.55</v>
      </c>
      <c r="M104" s="3"/>
      <c r="N104" s="8">
        <f t="shared" si="23"/>
        <v>-0.66249999999999998</v>
      </c>
      <c r="O104" s="12"/>
      <c r="P104" s="7">
        <v>9531.84</v>
      </c>
      <c r="Q104" s="3"/>
      <c r="R104" s="8">
        <f t="shared" si="24"/>
        <v>7.7390315147470435E-4</v>
      </c>
      <c r="S104" s="3"/>
      <c r="T104" s="7">
        <v>9730</v>
      </c>
      <c r="U104" s="3"/>
      <c r="V104" s="8">
        <f t="shared" si="25"/>
        <v>9.6606519758565118E-4</v>
      </c>
      <c r="W104" s="3"/>
      <c r="X104" s="7">
        <f t="shared" si="26"/>
        <v>-198.15999999999985</v>
      </c>
      <c r="Y104" s="3"/>
      <c r="Z104" s="8">
        <f t="shared" si="27"/>
        <v>-2.0365878725590942E-2</v>
      </c>
    </row>
    <row r="105" spans="1:26" s="69" customFormat="1" ht="15" customHeight="1" outlineLevel="1" collapsed="1" x14ac:dyDescent="0.3">
      <c r="A105" s="25"/>
      <c r="B105" s="14" t="str">
        <f>CONCATENATE("     ","Telephone/Data Lines                              ")</f>
        <v xml:space="preserve">     Telephone/Data Lines                              </v>
      </c>
      <c r="C105" s="14"/>
      <c r="D105" s="2">
        <f>SUM(OSRRefD22_19x_0)</f>
        <v>2222</v>
      </c>
      <c r="E105" s="2"/>
      <c r="F105" s="6">
        <f t="shared" si="20"/>
        <v>1.0983212377370542E-3</v>
      </c>
      <c r="G105" s="2"/>
      <c r="H105" s="2">
        <f>SUM(OSRRefH22_19x_0)</f>
        <v>961</v>
      </c>
      <c r="I105" s="2"/>
      <c r="J105" s="6">
        <f t="shared" si="21"/>
        <v>6.5157401568930568E-4</v>
      </c>
      <c r="K105" s="2"/>
      <c r="L105" s="2">
        <f t="shared" si="22"/>
        <v>1261</v>
      </c>
      <c r="M105" s="2"/>
      <c r="N105" s="6">
        <f t="shared" si="23"/>
        <v>1.3121748178980228</v>
      </c>
      <c r="O105" s="14"/>
      <c r="P105" s="2">
        <f>SUM(OSRRefP22_19x_0)</f>
        <v>14598.39</v>
      </c>
      <c r="Q105" s="2"/>
      <c r="R105" s="6">
        <f t="shared" si="24"/>
        <v>1.185263288877783E-3</v>
      </c>
      <c r="S105" s="2"/>
      <c r="T105" s="2">
        <f>SUM(OSRRefT22_19x_0)</f>
        <v>10060</v>
      </c>
      <c r="U105" s="2"/>
      <c r="V105" s="6">
        <f t="shared" si="25"/>
        <v>9.9882999873706583E-4</v>
      </c>
      <c r="W105" s="2"/>
      <c r="X105" s="2">
        <f t="shared" si="26"/>
        <v>4538.3899999999994</v>
      </c>
      <c r="Y105" s="2"/>
      <c r="Z105" s="6">
        <f t="shared" si="27"/>
        <v>0.45113220675944327</v>
      </c>
    </row>
    <row r="106" spans="1:26" s="70" customFormat="1" ht="15" hidden="1" customHeight="1" outlineLevel="2" x14ac:dyDescent="0.3">
      <c r="A106" s="26"/>
      <c r="B106" s="12" t="str">
        <f>CONCATENATE("          ","6303"," - ","DATA PHONE LINES")</f>
        <v xml:space="preserve">          6303 - DATA PHONE LINES</v>
      </c>
      <c r="C106" s="12"/>
      <c r="D106" s="7"/>
      <c r="E106" s="3"/>
      <c r="F106" s="8">
        <f t="shared" si="20"/>
        <v>0</v>
      </c>
      <c r="G106" s="3"/>
      <c r="H106" s="7">
        <v>193</v>
      </c>
      <c r="I106" s="3"/>
      <c r="J106" s="8">
        <f t="shared" si="21"/>
        <v>1.3085721647038083E-4</v>
      </c>
      <c r="K106" s="3"/>
      <c r="L106" s="7">
        <f t="shared" si="22"/>
        <v>-193</v>
      </c>
      <c r="M106" s="3"/>
      <c r="N106" s="8">
        <f t="shared" si="23"/>
        <v>-1</v>
      </c>
      <c r="O106" s="12"/>
      <c r="P106" s="7"/>
      <c r="Q106" s="3"/>
      <c r="R106" s="8">
        <f t="shared" si="24"/>
        <v>0</v>
      </c>
      <c r="S106" s="3"/>
      <c r="T106" s="7">
        <v>1930</v>
      </c>
      <c r="U106" s="3"/>
      <c r="V106" s="8">
        <f t="shared" si="25"/>
        <v>1.9162444309766771E-4</v>
      </c>
      <c r="W106" s="3"/>
      <c r="X106" s="7">
        <f t="shared" si="26"/>
        <v>-1930</v>
      </c>
      <c r="Y106" s="3"/>
      <c r="Z106" s="8">
        <f t="shared" si="27"/>
        <v>-1</v>
      </c>
    </row>
    <row r="107" spans="1:26" s="70" customFormat="1" ht="15" hidden="1" customHeight="1" outlineLevel="2" x14ac:dyDescent="0.3">
      <c r="A107" s="26"/>
      <c r="B107" s="12" t="str">
        <f>CONCATENATE("          ","6309"," - ","TELEPHONE")</f>
        <v xml:space="preserve">          6309 - TELEPHONE</v>
      </c>
      <c r="C107" s="12"/>
      <c r="D107" s="7">
        <v>2222</v>
      </c>
      <c r="E107" s="3"/>
      <c r="F107" s="8">
        <f t="shared" si="20"/>
        <v>1.0983212377370542E-3</v>
      </c>
      <c r="G107" s="3"/>
      <c r="H107" s="7">
        <v>768</v>
      </c>
      <c r="I107" s="3"/>
      <c r="J107" s="8">
        <f t="shared" si="21"/>
        <v>5.2071679921892483E-4</v>
      </c>
      <c r="K107" s="3"/>
      <c r="L107" s="7">
        <f t="shared" si="22"/>
        <v>1454</v>
      </c>
      <c r="M107" s="3"/>
      <c r="N107" s="8">
        <f t="shared" si="23"/>
        <v>1.8932291666666667</v>
      </c>
      <c r="O107" s="12"/>
      <c r="P107" s="7">
        <v>14598.39</v>
      </c>
      <c r="Q107" s="3"/>
      <c r="R107" s="8">
        <f t="shared" si="24"/>
        <v>1.185263288877783E-3</v>
      </c>
      <c r="S107" s="3"/>
      <c r="T107" s="7">
        <v>8130</v>
      </c>
      <c r="U107" s="3"/>
      <c r="V107" s="8">
        <f t="shared" si="25"/>
        <v>8.0720555563939817E-4</v>
      </c>
      <c r="W107" s="3"/>
      <c r="X107" s="7">
        <f t="shared" si="26"/>
        <v>6468.3899999999994</v>
      </c>
      <c r="Y107" s="3"/>
      <c r="Z107" s="8">
        <f t="shared" si="27"/>
        <v>0.79561992619926192</v>
      </c>
    </row>
    <row r="108" spans="1:26" s="69" customFormat="1" ht="15" customHeight="1" outlineLevel="1" collapsed="1" x14ac:dyDescent="0.3">
      <c r="A108" s="25"/>
      <c r="B108" s="14" t="str">
        <f>CONCATENATE("     ","Training                                          ")</f>
        <v xml:space="preserve">     Training                                          </v>
      </c>
      <c r="C108" s="14"/>
      <c r="D108" s="2">
        <f>SUM(OSRRefD22_20x_0)</f>
        <v>951.95</v>
      </c>
      <c r="E108" s="2"/>
      <c r="F108" s="6">
        <f t="shared" si="20"/>
        <v>4.705431603347384E-4</v>
      </c>
      <c r="G108" s="2"/>
      <c r="H108" s="2">
        <f>SUM(OSRRefH22_20x_0)</f>
        <v>615</v>
      </c>
      <c r="I108" s="2"/>
      <c r="J108" s="6">
        <f t="shared" si="21"/>
        <v>4.1698024937452961E-4</v>
      </c>
      <c r="K108" s="2"/>
      <c r="L108" s="2">
        <f t="shared" si="22"/>
        <v>336.95000000000005</v>
      </c>
      <c r="M108" s="2"/>
      <c r="N108" s="6">
        <f t="shared" si="23"/>
        <v>0.5478861788617887</v>
      </c>
      <c r="O108" s="14"/>
      <c r="P108" s="2">
        <f>SUM(OSRRefP22_20x_0)</f>
        <v>9290.92</v>
      </c>
      <c r="Q108" s="2"/>
      <c r="R108" s="6">
        <f t="shared" si="24"/>
        <v>7.5434252653206098E-4</v>
      </c>
      <c r="S108" s="2"/>
      <c r="T108" s="2">
        <f>SUM(OSRRefT22_20x_0)</f>
        <v>12530</v>
      </c>
      <c r="U108" s="2"/>
      <c r="V108" s="6">
        <f t="shared" si="25"/>
        <v>1.2440695709915938E-3</v>
      </c>
      <c r="W108" s="2"/>
      <c r="X108" s="2">
        <f t="shared" si="26"/>
        <v>-3239.08</v>
      </c>
      <c r="Y108" s="2"/>
      <c r="Z108" s="6">
        <f t="shared" si="27"/>
        <v>-0.25850598563447724</v>
      </c>
    </row>
    <row r="109" spans="1:26" s="70" customFormat="1" ht="15" hidden="1" customHeight="1" outlineLevel="2" x14ac:dyDescent="0.3">
      <c r="A109" s="26"/>
      <c r="B109" s="12" t="str">
        <f>CONCATENATE("          ","6376"," - ","TRAINING")</f>
        <v xml:space="preserve">          6376 - TRAINING</v>
      </c>
      <c r="C109" s="12"/>
      <c r="D109" s="7">
        <v>951.95</v>
      </c>
      <c r="E109" s="3"/>
      <c r="F109" s="8">
        <f t="shared" si="20"/>
        <v>4.705431603347384E-4</v>
      </c>
      <c r="G109" s="3"/>
      <c r="H109" s="7">
        <v>615</v>
      </c>
      <c r="I109" s="3"/>
      <c r="J109" s="8">
        <f t="shared" si="21"/>
        <v>4.1698024937452961E-4</v>
      </c>
      <c r="K109" s="3"/>
      <c r="L109" s="7">
        <f t="shared" si="22"/>
        <v>336.95000000000005</v>
      </c>
      <c r="M109" s="3"/>
      <c r="N109" s="8">
        <f t="shared" si="23"/>
        <v>0.5478861788617887</v>
      </c>
      <c r="O109" s="12"/>
      <c r="P109" s="7">
        <v>9290.92</v>
      </c>
      <c r="Q109" s="3"/>
      <c r="R109" s="8">
        <f t="shared" si="24"/>
        <v>7.5434252653206098E-4</v>
      </c>
      <c r="S109" s="3"/>
      <c r="T109" s="7">
        <v>12530</v>
      </c>
      <c r="U109" s="3"/>
      <c r="V109" s="8">
        <f t="shared" si="25"/>
        <v>1.2440695709915938E-3</v>
      </c>
      <c r="W109" s="3"/>
      <c r="X109" s="7">
        <f t="shared" si="26"/>
        <v>-3239.08</v>
      </c>
      <c r="Y109" s="3"/>
      <c r="Z109" s="8">
        <f t="shared" si="27"/>
        <v>-0.25850598563447724</v>
      </c>
    </row>
    <row r="110" spans="1:26" s="69" customFormat="1" ht="15" customHeight="1" outlineLevel="1" collapsed="1" x14ac:dyDescent="0.3">
      <c r="A110" s="25"/>
      <c r="B110" s="14" t="str">
        <f>CONCATENATE("     ","Travel                                            ")</f>
        <v xml:space="preserve">     Travel                                            </v>
      </c>
      <c r="C110" s="14"/>
      <c r="D110" s="2">
        <f>SUM(OSRRefD22_21x_0)</f>
        <v>0</v>
      </c>
      <c r="E110" s="2"/>
      <c r="F110" s="6">
        <f t="shared" si="20"/>
        <v>0</v>
      </c>
      <c r="G110" s="2"/>
      <c r="H110" s="2">
        <f>SUM(OSRRefH22_21x_0)</f>
        <v>0</v>
      </c>
      <c r="I110" s="2"/>
      <c r="J110" s="6">
        <f t="shared" si="21"/>
        <v>0</v>
      </c>
      <c r="K110" s="2"/>
      <c r="L110" s="2">
        <f t="shared" si="22"/>
        <v>0</v>
      </c>
      <c r="M110" s="2"/>
      <c r="N110" s="6">
        <f t="shared" si="23"/>
        <v>0</v>
      </c>
      <c r="O110" s="14"/>
      <c r="P110" s="2">
        <f>SUM(OSRRefP22_21x_0)</f>
        <v>975.28</v>
      </c>
      <c r="Q110" s="2"/>
      <c r="R110" s="6">
        <f t="shared" si="24"/>
        <v>7.9184319666533389E-5</v>
      </c>
      <c r="S110" s="2"/>
      <c r="T110" s="2">
        <f>SUM(OSRRefT22_21x_0)</f>
        <v>1200</v>
      </c>
      <c r="U110" s="2"/>
      <c r="V110" s="6">
        <f t="shared" si="25"/>
        <v>1.1914473145968976E-4</v>
      </c>
      <c r="W110" s="2"/>
      <c r="X110" s="2">
        <f t="shared" si="26"/>
        <v>-224.72000000000003</v>
      </c>
      <c r="Y110" s="2"/>
      <c r="Z110" s="6">
        <f t="shared" si="27"/>
        <v>-0.18726666666666669</v>
      </c>
    </row>
    <row r="111" spans="1:26" s="70" customFormat="1" ht="15" hidden="1" customHeight="1" outlineLevel="2" x14ac:dyDescent="0.3">
      <c r="A111" s="26"/>
      <c r="B111" s="12" t="str">
        <f>CONCATENATE("          ","6292"," - ","TRAVEL/CONFERENCE")</f>
        <v xml:space="preserve">          6292 - TRAVEL/CONFERENCE</v>
      </c>
      <c r="C111" s="12"/>
      <c r="D111" s="7"/>
      <c r="E111" s="3"/>
      <c r="F111" s="8">
        <f t="shared" si="20"/>
        <v>0</v>
      </c>
      <c r="G111" s="3"/>
      <c r="H111" s="7"/>
      <c r="I111" s="3"/>
      <c r="J111" s="8">
        <f t="shared" si="21"/>
        <v>0</v>
      </c>
      <c r="K111" s="3"/>
      <c r="L111" s="7">
        <f t="shared" si="22"/>
        <v>0</v>
      </c>
      <c r="M111" s="3"/>
      <c r="N111" s="8">
        <f t="shared" si="23"/>
        <v>0</v>
      </c>
      <c r="O111" s="12"/>
      <c r="P111" s="7">
        <v>613.59</v>
      </c>
      <c r="Q111" s="3"/>
      <c r="R111" s="8">
        <f t="shared" si="24"/>
        <v>4.9818212927762515E-5</v>
      </c>
      <c r="S111" s="3"/>
      <c r="T111" s="7">
        <v>1200</v>
      </c>
      <c r="U111" s="3"/>
      <c r="V111" s="8">
        <f t="shared" si="25"/>
        <v>1.1914473145968976E-4</v>
      </c>
      <c r="W111" s="3"/>
      <c r="X111" s="7">
        <f t="shared" si="26"/>
        <v>-586.41</v>
      </c>
      <c r="Y111" s="3"/>
      <c r="Z111" s="8">
        <f t="shared" si="27"/>
        <v>-0.48867499999999997</v>
      </c>
    </row>
    <row r="112" spans="1:26" s="70" customFormat="1" ht="15" hidden="1" customHeight="1" outlineLevel="2" x14ac:dyDescent="0.3">
      <c r="A112" s="26"/>
      <c r="B112" s="12" t="str">
        <f>CONCATENATE("          ","6298"," - ","VEHICLE MILEAGE")</f>
        <v xml:space="preserve">          6298 - VEHICLE MILEAGE</v>
      </c>
      <c r="C112" s="12"/>
      <c r="D112" s="7"/>
      <c r="E112" s="3"/>
      <c r="F112" s="8">
        <f t="shared" si="20"/>
        <v>0</v>
      </c>
      <c r="G112" s="3"/>
      <c r="H112" s="7"/>
      <c r="I112" s="3"/>
      <c r="J112" s="8">
        <f t="shared" si="21"/>
        <v>0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>
        <v>361.69</v>
      </c>
      <c r="Q112" s="3"/>
      <c r="R112" s="8">
        <f t="shared" si="24"/>
        <v>2.9366106738770878E-5</v>
      </c>
      <c r="S112" s="3"/>
      <c r="T112" s="7"/>
      <c r="U112" s="3"/>
      <c r="V112" s="8">
        <f t="shared" si="25"/>
        <v>0</v>
      </c>
      <c r="W112" s="3"/>
      <c r="X112" s="7">
        <f t="shared" si="26"/>
        <v>361.69</v>
      </c>
      <c r="Y112" s="3"/>
      <c r="Z112" s="8">
        <f t="shared" si="27"/>
        <v>0</v>
      </c>
    </row>
    <row r="113" spans="1:26" s="69" customFormat="1" ht="15" customHeight="1" outlineLevel="1" collapsed="1" x14ac:dyDescent="0.3">
      <c r="A113" s="25"/>
      <c r="B113" s="14" t="str">
        <f>CONCATENATE("     ","Utilities                                         ")</f>
        <v xml:space="preserve">     Utilities                                         </v>
      </c>
      <c r="C113" s="14"/>
      <c r="D113" s="2">
        <f>SUM(OSRRefD22_22x_0)</f>
        <v>8150</v>
      </c>
      <c r="E113" s="2"/>
      <c r="F113" s="6">
        <f t="shared" si="20"/>
        <v>4.0284959889995463E-3</v>
      </c>
      <c r="G113" s="2"/>
      <c r="H113" s="2">
        <f>SUM(OSRRefH22_22x_0)</f>
        <v>8667</v>
      </c>
      <c r="I113" s="2"/>
      <c r="J113" s="6">
        <f t="shared" si="21"/>
        <v>5.8763704411854446E-3</v>
      </c>
      <c r="K113" s="2"/>
      <c r="L113" s="2">
        <f t="shared" si="22"/>
        <v>-517</v>
      </c>
      <c r="M113" s="2"/>
      <c r="N113" s="6">
        <f t="shared" si="23"/>
        <v>-5.9651551863389871E-2</v>
      </c>
      <c r="O113" s="14"/>
      <c r="P113" s="2">
        <f>SUM(OSRRefP22_22x_0)</f>
        <v>79100</v>
      </c>
      <c r="Q113" s="2"/>
      <c r="R113" s="6">
        <f t="shared" si="24"/>
        <v>6.4222373940025336E-3</v>
      </c>
      <c r="S113" s="2"/>
      <c r="T113" s="2">
        <f>SUM(OSRRefT22_22x_0)</f>
        <v>86670</v>
      </c>
      <c r="U113" s="2"/>
      <c r="V113" s="6">
        <f t="shared" si="25"/>
        <v>8.6052282296760936E-3</v>
      </c>
      <c r="W113" s="2"/>
      <c r="X113" s="2">
        <f t="shared" si="26"/>
        <v>-7570</v>
      </c>
      <c r="Y113" s="2"/>
      <c r="Z113" s="6">
        <f t="shared" si="27"/>
        <v>-8.734279450790354E-2</v>
      </c>
    </row>
    <row r="114" spans="1:26" s="70" customFormat="1" ht="15" hidden="1" customHeight="1" outlineLevel="2" x14ac:dyDescent="0.3">
      <c r="A114" s="26"/>
      <c r="B114" s="12" t="str">
        <f>CONCATENATE("          ","6274"," - ","UTILITIES")</f>
        <v xml:space="preserve">          6274 - UTILITIES</v>
      </c>
      <c r="C114" s="12"/>
      <c r="D114" s="7">
        <v>8150</v>
      </c>
      <c r="E114" s="3"/>
      <c r="F114" s="8">
        <f t="shared" si="20"/>
        <v>4.0284959889995463E-3</v>
      </c>
      <c r="G114" s="3"/>
      <c r="H114" s="7">
        <v>8667</v>
      </c>
      <c r="I114" s="3"/>
      <c r="J114" s="8">
        <f t="shared" si="21"/>
        <v>5.8763704411854446E-3</v>
      </c>
      <c r="K114" s="3"/>
      <c r="L114" s="7">
        <f t="shared" si="22"/>
        <v>-517</v>
      </c>
      <c r="M114" s="3"/>
      <c r="N114" s="8">
        <f t="shared" si="23"/>
        <v>-5.9651551863389871E-2</v>
      </c>
      <c r="O114" s="12"/>
      <c r="P114" s="7">
        <v>79100</v>
      </c>
      <c r="Q114" s="3"/>
      <c r="R114" s="8">
        <f t="shared" si="24"/>
        <v>6.4222373940025336E-3</v>
      </c>
      <c r="S114" s="3"/>
      <c r="T114" s="7">
        <v>86670</v>
      </c>
      <c r="U114" s="3"/>
      <c r="V114" s="8">
        <f t="shared" si="25"/>
        <v>8.6052282296760936E-3</v>
      </c>
      <c r="W114" s="3"/>
      <c r="X114" s="7">
        <f t="shared" si="26"/>
        <v>-7570</v>
      </c>
      <c r="Y114" s="3"/>
      <c r="Z114" s="8">
        <f t="shared" si="27"/>
        <v>-8.734279450790354E-2</v>
      </c>
    </row>
    <row r="115" spans="1:26" s="65" customFormat="1" ht="15" customHeight="1" x14ac:dyDescent="0.3">
      <c r="A115" s="35"/>
      <c r="B115" s="35"/>
      <c r="C115" s="35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O115" s="35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s="63" customFormat="1" ht="15" customHeight="1" collapsed="1" x14ac:dyDescent="0.3">
      <c r="A116" s="11"/>
      <c r="B116" s="28" t="s">
        <v>291</v>
      </c>
      <c r="C116" s="11"/>
      <c r="D116" s="5">
        <f>SUM(OSRRefD25x_0)</f>
        <v>6601.19</v>
      </c>
      <c r="E116" s="5"/>
      <c r="F116" s="13">
        <f>IF(D$12=0,0,D116/D$12)</f>
        <v>3.2629285199538543E-3</v>
      </c>
      <c r="G116" s="5"/>
      <c r="H116" s="5">
        <f>SUM(OSRRefH25x_0)</f>
        <v>28752.129999999997</v>
      </c>
      <c r="I116" s="5"/>
      <c r="J116" s="13">
        <f>IF(H$12=0,0,H116/H$12)</f>
        <v>1.949442331292503E-2</v>
      </c>
      <c r="K116" s="5"/>
      <c r="L116" s="5">
        <f>+D116-H116</f>
        <v>-22150.94</v>
      </c>
      <c r="M116" s="5"/>
      <c r="N116" s="13">
        <f>IF(H116=0,0,L116/H116)</f>
        <v>-0.77041040089899426</v>
      </c>
      <c r="O116" s="11"/>
      <c r="P116" s="5">
        <f>SUM(OSRRefP25x_0)</f>
        <v>175136.04</v>
      </c>
      <c r="Q116" s="5"/>
      <c r="R116" s="13">
        <f>IF(P$12=0,0,P116/P$12)</f>
        <v>1.4219535083761359E-2</v>
      </c>
      <c r="S116" s="5"/>
      <c r="T116" s="5">
        <f>SUM(OSRRefT25x_0)</f>
        <v>134732.53</v>
      </c>
      <c r="U116" s="5"/>
      <c r="V116" s="13">
        <f>IF(T$12=0,0,T116/T$12)</f>
        <v>1.3377225921445496E-2</v>
      </c>
      <c r="W116" s="5"/>
      <c r="X116" s="5">
        <f>+P116-T116</f>
        <v>40403.510000000009</v>
      </c>
      <c r="Y116" s="5"/>
      <c r="Z116" s="13">
        <f>IF(T116=0,0,X116/T116)</f>
        <v>0.29987939809339298</v>
      </c>
    </row>
    <row r="117" spans="1:26" s="70" customFormat="1" ht="15" hidden="1" customHeight="1" outlineLevel="1" x14ac:dyDescent="0.3">
      <c r="A117" s="42"/>
      <c r="B117" s="12" t="str">
        <f>CONCATENATE("          ","9150"," - ","MISC. INCOME")</f>
        <v xml:space="preserve">          9150 - MISC. INCOME</v>
      </c>
      <c r="C117" s="12"/>
      <c r="D117" s="3">
        <f>--6601.19</f>
        <v>6601.19</v>
      </c>
      <c r="E117" s="3"/>
      <c r="F117" s="20">
        <f>IF(D$12=0,0,D117/D$12)</f>
        <v>3.2629285199538543E-3</v>
      </c>
      <c r="G117" s="3"/>
      <c r="H117" s="3"/>
      <c r="I117" s="3"/>
      <c r="J117" s="20">
        <f>IF(H$12=0,0,H117/H$12)</f>
        <v>0</v>
      </c>
      <c r="K117" s="3"/>
      <c r="L117" s="3">
        <f>+D117-H117</f>
        <v>6601.19</v>
      </c>
      <c r="M117" s="3"/>
      <c r="N117" s="20">
        <f>IF(H117=0,0,L117/H117)</f>
        <v>0</v>
      </c>
      <c r="O117" s="12"/>
      <c r="P117" s="3">
        <f>--175136.04</f>
        <v>175136.04</v>
      </c>
      <c r="Q117" s="3"/>
      <c r="R117" s="20">
        <f>IF(P$12=0,0,P117/P$12)</f>
        <v>1.4219535083761359E-2</v>
      </c>
      <c r="S117" s="3"/>
      <c r="T117" s="3">
        <v>1000</v>
      </c>
      <c r="U117" s="3"/>
      <c r="V117" s="20">
        <f>IF(T$12=0,0,T117/T$12)</f>
        <v>9.9287276216408131E-5</v>
      </c>
      <c r="W117" s="3"/>
      <c r="X117" s="3">
        <f>+P117-T117</f>
        <v>174136.04</v>
      </c>
      <c r="Y117" s="3"/>
      <c r="Z117" s="20">
        <f>IF(T117=0,0,X117/T117)</f>
        <v>174.13604000000001</v>
      </c>
    </row>
    <row r="118" spans="1:26" s="70" customFormat="1" ht="15" hidden="1" customHeight="1" outlineLevel="1" x14ac:dyDescent="0.3">
      <c r="A118" s="42"/>
      <c r="B118" s="12" t="str">
        <f>CONCATENATE("          ","9151"," - ","MISC. INCOME")</f>
        <v xml:space="preserve">          9151 - MISC. INCOME</v>
      </c>
      <c r="C118" s="12"/>
      <c r="D118" s="3">
        <f>0</f>
        <v>0</v>
      </c>
      <c r="E118" s="3"/>
      <c r="F118" s="20">
        <f>IF(D$12=0,0,D118/D$12)</f>
        <v>0</v>
      </c>
      <c r="G118" s="3"/>
      <c r="H118" s="3">
        <v>12530.38</v>
      </c>
      <c r="I118" s="3"/>
      <c r="J118" s="20">
        <f>IF(H$12=0,0,H118/H$12)</f>
        <v>8.4958064669229567E-3</v>
      </c>
      <c r="K118" s="3"/>
      <c r="L118" s="3">
        <f>+D118-H118</f>
        <v>-12530.38</v>
      </c>
      <c r="M118" s="3"/>
      <c r="N118" s="20">
        <f>IF(H118=0,0,L118/H118)</f>
        <v>-1</v>
      </c>
      <c r="O118" s="12"/>
      <c r="P118" s="3">
        <f>0</f>
        <v>0</v>
      </c>
      <c r="Q118" s="3"/>
      <c r="R118" s="20">
        <f>IF(P$12=0,0,P118/P$12)</f>
        <v>0</v>
      </c>
      <c r="S118" s="3"/>
      <c r="T118" s="3">
        <v>57298.91</v>
      </c>
      <c r="U118" s="3"/>
      <c r="V118" s="20">
        <f>IF(T$12=0,0,T118/T$12)</f>
        <v>5.6890527040691103E-3</v>
      </c>
      <c r="W118" s="3"/>
      <c r="X118" s="3">
        <f>+P118-T118</f>
        <v>-57298.91</v>
      </c>
      <c r="Y118" s="3"/>
      <c r="Z118" s="20">
        <f>IF(T118=0,0,X118/T118)</f>
        <v>-1</v>
      </c>
    </row>
    <row r="119" spans="1:26" s="70" customFormat="1" ht="15" hidden="1" customHeight="1" outlineLevel="1" x14ac:dyDescent="0.3">
      <c r="A119" s="42"/>
      <c r="B119" s="12" t="str">
        <f>CONCATENATE("          ","9160"," - ","MISC. INCOME")</f>
        <v xml:space="preserve">          9160 - MISC. INCOME</v>
      </c>
      <c r="C119" s="12"/>
      <c r="D119" s="3">
        <f>0</f>
        <v>0</v>
      </c>
      <c r="E119" s="3"/>
      <c r="F119" s="20">
        <f>IF(D$12=0,0,D119/D$12)</f>
        <v>0</v>
      </c>
      <c r="G119" s="3"/>
      <c r="H119" s="3">
        <v>16221.75</v>
      </c>
      <c r="I119" s="3"/>
      <c r="J119" s="20">
        <f>IF(H$12=0,0,H119/H$12)</f>
        <v>1.0998616846002075E-2</v>
      </c>
      <c r="K119" s="3"/>
      <c r="L119" s="3">
        <f>+D119-H119</f>
        <v>-16221.75</v>
      </c>
      <c r="M119" s="3"/>
      <c r="N119" s="20">
        <f>IF(H119=0,0,L119/H119)</f>
        <v>-1</v>
      </c>
      <c r="O119" s="12"/>
      <c r="P119" s="3">
        <f>0</f>
        <v>0</v>
      </c>
      <c r="Q119" s="3"/>
      <c r="R119" s="20">
        <f>IF(P$12=0,0,P119/P$12)</f>
        <v>0</v>
      </c>
      <c r="S119" s="3"/>
      <c r="T119" s="3">
        <v>76433.62</v>
      </c>
      <c r="U119" s="3"/>
      <c r="V119" s="20">
        <f>IF(T$12=0,0,T119/T$12)</f>
        <v>7.5888859411599764E-3</v>
      </c>
      <c r="W119" s="3"/>
      <c r="X119" s="3">
        <f>+P119-T119</f>
        <v>-76433.62</v>
      </c>
      <c r="Y119" s="3"/>
      <c r="Z119" s="20">
        <f>IF(T119=0,0,X119/T119)</f>
        <v>-1</v>
      </c>
    </row>
    <row r="120" spans="1:26" s="70" customFormat="1" ht="15" hidden="1" customHeight="1" outlineLevel="1" x14ac:dyDescent="0.3">
      <c r="A120" s="42"/>
      <c r="B120" s="12" t="str">
        <f>CONCATENATE("          ","9165"," - ","OTHER INCOME")</f>
        <v xml:space="preserve">          9165 - OTHER INCOME</v>
      </c>
      <c r="C120" s="12"/>
      <c r="D120" s="3">
        <f>0</f>
        <v>0</v>
      </c>
      <c r="E120" s="3"/>
      <c r="F120" s="20">
        <f>IF(D$12=0,0,D120/D$12)</f>
        <v>0</v>
      </c>
      <c r="G120" s="3"/>
      <c r="H120" s="3"/>
      <c r="I120" s="3"/>
      <c r="J120" s="20">
        <f>IF(H$12=0,0,H120/H$12)</f>
        <v>0</v>
      </c>
      <c r="K120" s="3"/>
      <c r="L120" s="3">
        <f>+D120-H120</f>
        <v>0</v>
      </c>
      <c r="M120" s="3"/>
      <c r="N120" s="20">
        <f>IF(H120=0,0,L120/H120)</f>
        <v>0</v>
      </c>
      <c r="O120" s="12"/>
      <c r="P120" s="3">
        <f>0</f>
        <v>0</v>
      </c>
      <c r="Q120" s="3"/>
      <c r="R120" s="20">
        <f>IF(P$12=0,0,P120/P$12)</f>
        <v>0</v>
      </c>
      <c r="S120" s="3"/>
      <c r="T120" s="3"/>
      <c r="U120" s="3"/>
      <c r="V120" s="20">
        <f>IF(T$12=0,0,T120/T$12)</f>
        <v>0</v>
      </c>
      <c r="W120" s="3"/>
      <c r="X120" s="3">
        <f>+P120-T120</f>
        <v>0</v>
      </c>
      <c r="Y120" s="3"/>
      <c r="Z120" s="20">
        <f>IF(T120=0,0,X120/T120)</f>
        <v>0</v>
      </c>
    </row>
    <row r="121" spans="1:26" ht="15" customHeight="1" x14ac:dyDescent="0.3">
      <c r="A121" s="10"/>
      <c r="B121" s="11"/>
      <c r="C121" s="11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O121" s="11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s="63" customFormat="1" ht="15" customHeight="1" x14ac:dyDescent="0.3">
      <c r="A122" s="11"/>
      <c r="B122" s="27" t="s">
        <v>292</v>
      </c>
      <c r="C122" s="27"/>
      <c r="D122" s="21">
        <f>+D27-D29+D116</f>
        <v>722754.3200000003</v>
      </c>
      <c r="E122" s="15"/>
      <c r="F122" s="23">
        <f>IF(D$12=0,0,D122/D$12)</f>
        <v>0.35725311400639209</v>
      </c>
      <c r="G122" s="15"/>
      <c r="H122" s="21">
        <f>+H27-H29+H116</f>
        <v>229715.43312925939</v>
      </c>
      <c r="I122" s="15"/>
      <c r="J122" s="23">
        <f>IF(H$12=0,0,H122/H$12)</f>
        <v>0.15575089201856368</v>
      </c>
      <c r="K122" s="17"/>
      <c r="L122" s="21">
        <f>+D122-H122</f>
        <v>493038.88687074091</v>
      </c>
      <c r="M122" s="17"/>
      <c r="N122" s="23">
        <f>IF(H122=0,0,L122/H122)</f>
        <v>2.1463028415392147</v>
      </c>
      <c r="O122" s="28"/>
      <c r="P122" s="21">
        <f>+P27-P29+P116</f>
        <v>2733865.1000000034</v>
      </c>
      <c r="Q122" s="15"/>
      <c r="R122" s="23">
        <f>IF(P$12=0,0,P122/P$12)</f>
        <v>0.22196625379745255</v>
      </c>
      <c r="S122" s="15"/>
      <c r="T122" s="21">
        <f>+T27-T29+T116</f>
        <v>174933.66745743129</v>
      </c>
      <c r="U122" s="15"/>
      <c r="V122" s="23">
        <f>IF(T$12=0,0,T122/T$12)</f>
        <v>1.7368687360395266E-2</v>
      </c>
      <c r="W122" s="17"/>
      <c r="X122" s="21">
        <f>+P122-T122</f>
        <v>2558931.4325425723</v>
      </c>
      <c r="Y122" s="17"/>
      <c r="Z122" s="23">
        <f>IF(T122=0,0,X122/T122)</f>
        <v>14.628009975068222</v>
      </c>
    </row>
    <row r="123" spans="1:26" ht="15" customHeight="1" x14ac:dyDescent="0.3">
      <c r="A123" s="10"/>
      <c r="B123" s="11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3">
      <c r="A124" s="49"/>
      <c r="B124" s="11" t="s">
        <v>293</v>
      </c>
      <c r="C124" s="11"/>
      <c r="D124" s="5">
        <v>166766.89000000001</v>
      </c>
      <c r="E124" s="5"/>
      <c r="F124" s="13">
        <f>IF(D$12=0,0,D124/D$12)</f>
        <v>8.243187085434707E-2</v>
      </c>
      <c r="G124" s="5"/>
      <c r="H124" s="5">
        <v>192032</v>
      </c>
      <c r="I124" s="5"/>
      <c r="J124" s="13">
        <f>IF(H$12=0,0,H124/H$12)</f>
        <v>0.130200896338032</v>
      </c>
      <c r="K124" s="5"/>
      <c r="L124" s="5">
        <f>+D124-H124</f>
        <v>-25265.109999999986</v>
      </c>
      <c r="M124" s="5"/>
      <c r="N124" s="13">
        <f>IF(H124=0,0,L124/H124)</f>
        <v>-0.13156718671888012</v>
      </c>
      <c r="O124" s="11"/>
      <c r="P124" s="5">
        <v>1395269.96</v>
      </c>
      <c r="Q124" s="5"/>
      <c r="R124" s="13">
        <f>IF(P$12=0,0,P124/P$12)</f>
        <v>0.11328388004855144</v>
      </c>
      <c r="S124" s="5"/>
      <c r="T124" s="5">
        <v>1238975</v>
      </c>
      <c r="U124" s="5"/>
      <c r="V124" s="13">
        <f>IF(T$12=0,0,T124/T$12)</f>
        <v>0.12301445305022427</v>
      </c>
      <c r="W124" s="5"/>
      <c r="X124" s="5">
        <f>+P124-T124</f>
        <v>156294.95999999996</v>
      </c>
      <c r="Y124" s="5"/>
      <c r="Z124" s="13">
        <f>IF(T124=0,0,X124/T124)</f>
        <v>0.1261485986400048</v>
      </c>
    </row>
    <row r="125" spans="1:26" ht="15" customHeight="1" x14ac:dyDescent="0.3">
      <c r="A125" s="10"/>
      <c r="B125" s="11"/>
      <c r="C125" s="11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O125" s="11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3" customFormat="1" ht="15" customHeight="1" x14ac:dyDescent="0.3">
      <c r="A126" s="11"/>
      <c r="B126" s="27" t="s">
        <v>294</v>
      </c>
      <c r="C126" s="27"/>
      <c r="D126" s="29">
        <f>+D122-D124</f>
        <v>555987.43000000028</v>
      </c>
      <c r="E126" s="15"/>
      <c r="F126" s="30">
        <f>IF(D$12=0,0,D126/D$12)</f>
        <v>0.27482124315204504</v>
      </c>
      <c r="G126" s="15"/>
      <c r="H126" s="29">
        <f>+H122-H124</f>
        <v>37683.433129259385</v>
      </c>
      <c r="I126" s="15"/>
      <c r="J126" s="30">
        <f>IF(H$12=0,0,H126/H$12)</f>
        <v>2.5549995680531689E-2</v>
      </c>
      <c r="K126" s="17"/>
      <c r="L126" s="29">
        <f>D126-H126</f>
        <v>518303.9968707409</v>
      </c>
      <c r="M126" s="17"/>
      <c r="N126" s="30">
        <f>IF(H126=0,0,L126/H126)</f>
        <v>13.754160749974307</v>
      </c>
      <c r="O126" s="28"/>
      <c r="P126" s="29">
        <f>+P122-P124</f>
        <v>1338595.1400000034</v>
      </c>
      <c r="Q126" s="15"/>
      <c r="R126" s="30">
        <f>IF(P$12=0,0,P126/P$12)</f>
        <v>0.10868237374890112</v>
      </c>
      <c r="S126" s="15"/>
      <c r="T126" s="29">
        <f>+T122-T124</f>
        <v>-1064041.3325425687</v>
      </c>
      <c r="U126" s="15"/>
      <c r="V126" s="30">
        <f>IF(T$12=0,0,T126/T$12)</f>
        <v>-0.105645765689829</v>
      </c>
      <c r="W126" s="17"/>
      <c r="X126" s="29">
        <f>P126-T126</f>
        <v>2402636.4725425718</v>
      </c>
      <c r="Y126" s="17"/>
      <c r="Z126" s="30">
        <f>IF(T126=0,0,X126/T126)</f>
        <v>-2.2580292692215043</v>
      </c>
    </row>
    <row r="127" spans="1:26" ht="15" customHeight="1" x14ac:dyDescent="0.3">
      <c r="A127" s="10"/>
      <c r="B127" s="10"/>
      <c r="C127" s="10"/>
      <c r="D127" s="4"/>
      <c r="E127" s="4"/>
      <c r="F127" s="9"/>
      <c r="G127" s="4"/>
      <c r="H127" s="4"/>
      <c r="I127" s="4"/>
      <c r="J127" s="9"/>
      <c r="K127" s="4"/>
      <c r="L127" s="4"/>
      <c r="M127" s="4"/>
      <c r="N127" s="9"/>
      <c r="P127" s="4"/>
      <c r="Q127" s="4"/>
      <c r="R127" s="9"/>
      <c r="S127" s="4"/>
      <c r="T127" s="4"/>
      <c r="U127" s="4"/>
      <c r="V127" s="9"/>
      <c r="W127" s="4"/>
      <c r="X127" s="4"/>
      <c r="Y127" s="4"/>
      <c r="Z127" s="9"/>
    </row>
    <row r="128" spans="1:26" ht="15" customHeight="1" x14ac:dyDescent="0.3">
      <c r="A128" s="10"/>
      <c r="B128" s="10"/>
      <c r="C128" s="10"/>
      <c r="D128" s="4"/>
      <c r="E128" s="4"/>
      <c r="F128" s="9"/>
      <c r="G128" s="4"/>
      <c r="H128" s="4"/>
      <c r="I128" s="4"/>
      <c r="J128" s="9"/>
      <c r="K128" s="4"/>
      <c r="L128" s="4"/>
      <c r="M128" s="4"/>
      <c r="N128" s="9"/>
      <c r="P128" s="4"/>
      <c r="Q128" s="4"/>
      <c r="R128" s="9"/>
      <c r="S128" s="4"/>
      <c r="T128" s="4"/>
      <c r="U128" s="4"/>
      <c r="V128" s="9"/>
      <c r="W128" s="4"/>
      <c r="X128" s="4"/>
      <c r="Y128" s="4"/>
      <c r="Z128" s="9"/>
    </row>
    <row r="129" spans="1:26" s="63" customFormat="1" ht="15" customHeight="1" x14ac:dyDescent="0.3">
      <c r="A129" s="11"/>
      <c r="B129" s="27" t="s">
        <v>297</v>
      </c>
      <c r="C129" s="27"/>
      <c r="D129" s="32">
        <f>SUM(D126:D128)</f>
        <v>555987.43000000028</v>
      </c>
      <c r="E129" s="15"/>
      <c r="F129" s="34">
        <f>IF(D$12=0,0,D129/D$12)</f>
        <v>0.27482124315204504</v>
      </c>
      <c r="G129" s="15"/>
      <c r="H129" s="32">
        <f>SUM(H126:H128)</f>
        <v>37683.433129259385</v>
      </c>
      <c r="I129" s="15"/>
      <c r="J129" s="34">
        <f>IF(H$12=0,0,H129/H$12)</f>
        <v>2.5549995680531689E-2</v>
      </c>
      <c r="K129" s="17"/>
      <c r="L129" s="32">
        <f>+D129-H129</f>
        <v>518303.9968707409</v>
      </c>
      <c r="M129" s="17"/>
      <c r="N129" s="34">
        <f>IF(H129=0,0,L129/H129)</f>
        <v>13.754160749974307</v>
      </c>
      <c r="O129" s="28"/>
      <c r="P129" s="32">
        <f>SUM(P126:P128)</f>
        <v>1338595.1400000034</v>
      </c>
      <c r="Q129" s="15"/>
      <c r="R129" s="34">
        <f>IF(P$12=0,0,P129/P$12)</f>
        <v>0.10868237374890112</v>
      </c>
      <c r="S129" s="15"/>
      <c r="T129" s="32">
        <f>SUM(T126:T128)</f>
        <v>-1064041.3325425687</v>
      </c>
      <c r="U129" s="15"/>
      <c r="V129" s="34">
        <f>IF(T$12=0,0,T129/T$12)</f>
        <v>-0.105645765689829</v>
      </c>
      <c r="W129" s="17"/>
      <c r="X129" s="32">
        <f>+P129-T129</f>
        <v>2402636.4725425718</v>
      </c>
      <c r="Y129" s="17"/>
      <c r="Z129" s="34">
        <f>IF(T129=0,0,X129/T129)</f>
        <v>-2.2580292692215043</v>
      </c>
    </row>
    <row r="130" spans="1:26" ht="15" customHeight="1" x14ac:dyDescent="0.3">
      <c r="A130" s="10"/>
      <c r="C130" s="10"/>
      <c r="D130" s="19"/>
      <c r="E130" s="19"/>
      <c r="G130" s="19"/>
      <c r="H130" s="19"/>
      <c r="I130" s="19"/>
      <c r="J130" s="40"/>
      <c r="K130" s="19"/>
      <c r="L130" s="19"/>
      <c r="M130" s="19"/>
      <c r="P130" s="19"/>
      <c r="Q130" s="19"/>
      <c r="R130" s="40"/>
      <c r="S130" s="19"/>
      <c r="T130" s="19"/>
      <c r="U130" s="19"/>
      <c r="V130" s="40"/>
      <c r="W130" s="19"/>
      <c r="X130" s="19"/>
    </row>
    <row r="131" spans="1:26" ht="15" customHeight="1" x14ac:dyDescent="0.3">
      <c r="A131" s="10"/>
      <c r="B131" s="56">
        <v>44694.888530983793</v>
      </c>
      <c r="D131" s="19"/>
      <c r="E131" s="19"/>
      <c r="G131" s="19"/>
      <c r="H131" s="19"/>
      <c r="I131" s="19"/>
      <c r="J131" s="40"/>
      <c r="K131" s="19"/>
      <c r="L131" s="19"/>
      <c r="M131" s="19"/>
      <c r="P131" s="19"/>
      <c r="Q131" s="19"/>
      <c r="R131" s="40"/>
      <c r="S131" s="19"/>
      <c r="T131" s="19"/>
      <c r="U131" s="19"/>
      <c r="V131" s="40"/>
      <c r="W131" s="19"/>
      <c r="X131" s="19"/>
    </row>
    <row r="132" spans="1:26" ht="15" customHeight="1" x14ac:dyDescent="0.3">
      <c r="A132" s="10"/>
      <c r="B132" s="50" t="s">
        <v>298</v>
      </c>
      <c r="D132" s="19"/>
      <c r="E132" s="19"/>
      <c r="G132" s="19"/>
      <c r="H132" s="19"/>
      <c r="I132" s="19"/>
      <c r="J132" s="40"/>
      <c r="K132" s="19"/>
      <c r="L132" s="19"/>
      <c r="M132" s="19"/>
      <c r="P132" s="19"/>
      <c r="Q132" s="19"/>
      <c r="R132" s="40"/>
      <c r="S132" s="19"/>
      <c r="T132" s="19"/>
      <c r="U132" s="19"/>
      <c r="V132" s="40"/>
      <c r="W132" s="19"/>
      <c r="X132" s="19"/>
    </row>
    <row r="133" spans="1:26" ht="15" customHeight="1" x14ac:dyDescent="0.3">
      <c r="A133" s="10"/>
      <c r="B133" s="51"/>
      <c r="D133" s="19"/>
      <c r="E133" s="19"/>
      <c r="G133" s="19"/>
      <c r="H133" s="19"/>
      <c r="I133" s="19"/>
      <c r="J133" s="40"/>
      <c r="K133" s="19"/>
      <c r="L133" s="19"/>
      <c r="M133" s="19"/>
      <c r="P133" s="19"/>
      <c r="Q133" s="19"/>
      <c r="R133" s="40"/>
      <c r="S133" s="19"/>
      <c r="T133" s="19"/>
      <c r="U133" s="19"/>
      <c r="V133" s="40"/>
      <c r="W133" s="19"/>
      <c r="X133" s="19"/>
    </row>
    <row r="134" spans="1:26" ht="15" customHeight="1" x14ac:dyDescent="0.3">
      <c r="D134" s="19"/>
      <c r="E134" s="19"/>
      <c r="G134" s="19"/>
      <c r="H134" s="19"/>
      <c r="I134" s="19"/>
      <c r="J134" s="40"/>
      <c r="K134" s="19"/>
      <c r="L134" s="19"/>
      <c r="M134" s="19"/>
      <c r="P134" s="19"/>
      <c r="Q134" s="19"/>
      <c r="R134" s="40"/>
      <c r="S134" s="19"/>
      <c r="T134" s="19"/>
      <c r="U134" s="19"/>
      <c r="V134" s="40"/>
      <c r="W134" s="19"/>
      <c r="X13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CAD1-2B69-E2F4-C4DC-1EB2142D282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299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1015D-515C-2512-37FE-4A6B4368D6DB}">
  <sheetPr>
    <tabColor theme="5" tint="0.39997558519241921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311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403764.93</v>
      </c>
      <c r="E12" s="5"/>
      <c r="F12" s="13"/>
      <c r="G12" s="5"/>
      <c r="H12" s="5">
        <f>SUM(OSRRefH13x_0)</f>
        <v>470329</v>
      </c>
      <c r="I12" s="5"/>
      <c r="J12" s="13"/>
      <c r="K12" s="5"/>
      <c r="L12" s="5">
        <f t="shared" ref="L12:L18" si="0">+D12-H12</f>
        <v>-66564.070000000007</v>
      </c>
      <c r="M12" s="5"/>
      <c r="N12" s="13">
        <f t="shared" ref="N12:N18" si="1">IF(H12=0,0,L12/H12)</f>
        <v>-0.14152661222250809</v>
      </c>
      <c r="O12" s="11"/>
      <c r="P12" s="5">
        <f>SUM(OSRRefP13x_0)</f>
        <v>1802077.1400000001</v>
      </c>
      <c r="Q12" s="5"/>
      <c r="R12" s="13"/>
      <c r="S12" s="5"/>
      <c r="T12" s="5">
        <f>SUM(OSRRefT13x_0)</f>
        <v>2268298</v>
      </c>
      <c r="U12" s="5"/>
      <c r="V12" s="13"/>
      <c r="W12" s="5"/>
      <c r="X12" s="5">
        <f t="shared" ref="X12:X18" si="2">+P12-T12</f>
        <v>-466220.85999999987</v>
      </c>
      <c r="Y12" s="5"/>
      <c r="Z12" s="13">
        <f t="shared" ref="Z12:Z18" si="3">IF(T12=0,0,X12/T12)</f>
        <v>-0.20553774680399131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--14181.08</f>
        <v>14181.08</v>
      </c>
      <c r="E13" s="3"/>
      <c r="F13" s="20"/>
      <c r="G13" s="3"/>
      <c r="H13" s="3">
        <v>188013</v>
      </c>
      <c r="I13" s="3"/>
      <c r="J13" s="20"/>
      <c r="K13" s="3"/>
      <c r="L13" s="3">
        <f t="shared" si="0"/>
        <v>-173831.92</v>
      </c>
      <c r="M13" s="3"/>
      <c r="N13" s="20">
        <f t="shared" si="1"/>
        <v>-0.9245739390361305</v>
      </c>
      <c r="O13" s="12"/>
      <c r="P13" s="3">
        <f>--62411.75</f>
        <v>62411.75</v>
      </c>
      <c r="Q13" s="3"/>
      <c r="R13" s="20"/>
      <c r="S13" s="3"/>
      <c r="T13" s="3">
        <v>814493</v>
      </c>
      <c r="U13" s="3"/>
      <c r="V13" s="20"/>
      <c r="W13" s="3"/>
      <c r="X13" s="3">
        <f t="shared" si="2"/>
        <v>-752081.25</v>
      </c>
      <c r="Y13" s="3"/>
      <c r="Z13" s="20">
        <f t="shared" si="3"/>
        <v>-0.92337349737812358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--55113.37</f>
        <v>55113.37</v>
      </c>
      <c r="E14" s="3"/>
      <c r="F14" s="20"/>
      <c r="G14" s="3"/>
      <c r="H14" s="3"/>
      <c r="I14" s="3"/>
      <c r="J14" s="20"/>
      <c r="K14" s="3"/>
      <c r="L14" s="3">
        <f t="shared" si="0"/>
        <v>55113.37</v>
      </c>
      <c r="M14" s="3"/>
      <c r="N14" s="20">
        <f t="shared" si="1"/>
        <v>0</v>
      </c>
      <c r="O14" s="12"/>
      <c r="P14" s="3">
        <f>--318933.42</f>
        <v>318933.42</v>
      </c>
      <c r="Q14" s="3"/>
      <c r="R14" s="20"/>
      <c r="S14" s="3"/>
      <c r="T14" s="3"/>
      <c r="U14" s="3"/>
      <c r="V14" s="20"/>
      <c r="W14" s="3"/>
      <c r="X14" s="3">
        <f t="shared" si="2"/>
        <v>318933.42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--7821.31</f>
        <v>7821.31</v>
      </c>
      <c r="E15" s="3"/>
      <c r="F15" s="20"/>
      <c r="G15" s="3"/>
      <c r="H15" s="3"/>
      <c r="I15" s="3"/>
      <c r="J15" s="20"/>
      <c r="K15" s="3"/>
      <c r="L15" s="3">
        <f t="shared" si="0"/>
        <v>7821.31</v>
      </c>
      <c r="M15" s="3"/>
      <c r="N15" s="20">
        <f t="shared" si="1"/>
        <v>0</v>
      </c>
      <c r="O15" s="12"/>
      <c r="P15" s="3">
        <f>--25803.15</f>
        <v>25803.15</v>
      </c>
      <c r="Q15" s="3"/>
      <c r="R15" s="20"/>
      <c r="S15" s="3"/>
      <c r="T15" s="3"/>
      <c r="U15" s="3"/>
      <c r="V15" s="20"/>
      <c r="W15" s="3"/>
      <c r="X15" s="3">
        <f t="shared" si="2"/>
        <v>25803.15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--88883.93</f>
        <v>88883.93</v>
      </c>
      <c r="E16" s="3"/>
      <c r="F16" s="20"/>
      <c r="G16" s="3"/>
      <c r="H16" s="3">
        <v>282316</v>
      </c>
      <c r="I16" s="3"/>
      <c r="J16" s="20"/>
      <c r="K16" s="3"/>
      <c r="L16" s="3">
        <f t="shared" si="0"/>
        <v>-193432.07</v>
      </c>
      <c r="M16" s="3"/>
      <c r="N16" s="20">
        <f t="shared" si="1"/>
        <v>-0.68516155655364908</v>
      </c>
      <c r="O16" s="12"/>
      <c r="P16" s="3">
        <f>--347350.09</f>
        <v>347350.09</v>
      </c>
      <c r="Q16" s="3"/>
      <c r="R16" s="20"/>
      <c r="S16" s="3"/>
      <c r="T16" s="3">
        <v>1453805</v>
      </c>
      <c r="U16" s="3"/>
      <c r="V16" s="20"/>
      <c r="W16" s="3"/>
      <c r="X16" s="3">
        <f t="shared" si="2"/>
        <v>-1106454.9099999999</v>
      </c>
      <c r="Y16" s="3"/>
      <c r="Z16" s="20">
        <f t="shared" si="3"/>
        <v>-0.76107518546159902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--237765.24</f>
        <v>237765.24</v>
      </c>
      <c r="E17" s="3"/>
      <c r="F17" s="20"/>
      <c r="G17" s="3"/>
      <c r="H17" s="3"/>
      <c r="I17" s="3"/>
      <c r="J17" s="20"/>
      <c r="K17" s="3"/>
      <c r="L17" s="3">
        <f t="shared" si="0"/>
        <v>237765.24</v>
      </c>
      <c r="M17" s="3"/>
      <c r="N17" s="20">
        <f t="shared" si="1"/>
        <v>0</v>
      </c>
      <c r="O17" s="12"/>
      <c r="P17" s="3">
        <f>--1047578.73</f>
        <v>1047578.73</v>
      </c>
      <c r="Q17" s="3"/>
      <c r="R17" s="20"/>
      <c r="S17" s="3"/>
      <c r="T17" s="3"/>
      <c r="U17" s="3"/>
      <c r="V17" s="20"/>
      <c r="W17" s="3"/>
      <c r="X17" s="3">
        <f t="shared" si="2"/>
        <v>1047578.73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8" t="s">
        <v>288</v>
      </c>
      <c r="C20" s="11"/>
      <c r="D20" s="5">
        <f>SUM(OSRRefD16x_0)</f>
        <v>142306.84999999998</v>
      </c>
      <c r="E20" s="5"/>
      <c r="F20" s="13">
        <f>IF(D$12=0,0,D20/D$12)</f>
        <v>0.35244975337506401</v>
      </c>
      <c r="G20" s="5"/>
      <c r="H20" s="5">
        <f>SUM(OSRRefH16x_0)</f>
        <v>174655</v>
      </c>
      <c r="I20" s="5"/>
      <c r="J20" s="13">
        <f>IF(H$12=0,0,H20/H$12)</f>
        <v>0.37134644047039411</v>
      </c>
      <c r="K20" s="5"/>
      <c r="L20" s="5">
        <f>+D20-H20</f>
        <v>-32348.150000000023</v>
      </c>
      <c r="M20" s="5"/>
      <c r="N20" s="13">
        <f>IF(H20=0,0,L20/H20)</f>
        <v>-0.18521170307177021</v>
      </c>
      <c r="O20" s="11"/>
      <c r="P20" s="5">
        <f>SUM(OSRRefP16x_0)</f>
        <v>705242.58000000007</v>
      </c>
      <c r="Q20" s="5"/>
      <c r="R20" s="13">
        <f>IF(P$12=0,0,P20/P$12)</f>
        <v>0.39134982867603552</v>
      </c>
      <c r="S20" s="5"/>
      <c r="T20" s="5">
        <f>SUM(OSRRefT16x_0)</f>
        <v>846343</v>
      </c>
      <c r="U20" s="5"/>
      <c r="V20" s="13">
        <f>IF(T$12=0,0,T20/T$12)</f>
        <v>0.37311808236836608</v>
      </c>
      <c r="W20" s="5"/>
      <c r="X20" s="5">
        <f>+P20-T20</f>
        <v>-141100.41999999993</v>
      </c>
      <c r="Y20" s="5"/>
      <c r="Z20" s="13">
        <f>IF(T20=0,0,X20/T20)</f>
        <v>-0.16671777281787636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>
        <v>-2496</v>
      </c>
      <c r="E21" s="3"/>
      <c r="F21" s="20">
        <f>IF(D$12=0,0,D21/D$12)</f>
        <v>-6.1818147504787008E-3</v>
      </c>
      <c r="G21" s="3"/>
      <c r="H21" s="3">
        <v>174655</v>
      </c>
      <c r="I21" s="3"/>
      <c r="J21" s="20">
        <f>IF(H$12=0,0,H21/H$12)</f>
        <v>0.37134644047039411</v>
      </c>
      <c r="K21" s="3"/>
      <c r="L21" s="3">
        <f>+D21-H21</f>
        <v>-177151</v>
      </c>
      <c r="M21" s="3"/>
      <c r="N21" s="20">
        <f>IF(H21=0,0,L21/H21)</f>
        <v>-1.0142910308894677</v>
      </c>
      <c r="O21" s="12"/>
      <c r="P21" s="3">
        <v>-8062</v>
      </c>
      <c r="Q21" s="3"/>
      <c r="R21" s="20">
        <f>IF(P$12=0,0,P21/P$12)</f>
        <v>-4.473726357796204E-3</v>
      </c>
      <c r="S21" s="3"/>
      <c r="T21" s="3">
        <v>846343</v>
      </c>
      <c r="U21" s="3"/>
      <c r="V21" s="20">
        <f>IF(T$12=0,0,T21/T$12)</f>
        <v>0.37311808236836608</v>
      </c>
      <c r="W21" s="3"/>
      <c r="X21" s="3">
        <f>+P21-T21</f>
        <v>-854405</v>
      </c>
      <c r="Y21" s="3"/>
      <c r="Z21" s="20">
        <f>IF(T21=0,0,X21/T21)</f>
        <v>-1.0095256887573951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77066.7</v>
      </c>
      <c r="E22" s="3"/>
      <c r="F22" s="20">
        <f>IF(D$12=0,0,D22/D$12)</f>
        <v>0.19087021748025515</v>
      </c>
      <c r="G22" s="3"/>
      <c r="H22" s="3"/>
      <c r="I22" s="3"/>
      <c r="J22" s="20">
        <f>IF(H$12=0,0,H22/H$12)</f>
        <v>0</v>
      </c>
      <c r="K22" s="3"/>
      <c r="L22" s="3">
        <f>+D22-H22</f>
        <v>77066.7</v>
      </c>
      <c r="M22" s="3"/>
      <c r="N22" s="20">
        <f>IF(H22=0,0,L22/H22)</f>
        <v>0</v>
      </c>
      <c r="O22" s="12"/>
      <c r="P22" s="3">
        <v>479619.4</v>
      </c>
      <c r="Q22" s="3"/>
      <c r="R22" s="20">
        <f>IF(P$12=0,0,P22/P$12)</f>
        <v>0.26614809619082119</v>
      </c>
      <c r="S22" s="3"/>
      <c r="T22" s="3"/>
      <c r="U22" s="3"/>
      <c r="V22" s="20">
        <f>IF(T$12=0,0,T22/T$12)</f>
        <v>0</v>
      </c>
      <c r="W22" s="3"/>
      <c r="X22" s="3">
        <f>+P22-T22</f>
        <v>479619.4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67736.149999999994</v>
      </c>
      <c r="E23" s="3"/>
      <c r="F23" s="20">
        <f>IF(D$12=0,0,D23/D$12)</f>
        <v>0.16776135064528758</v>
      </c>
      <c r="G23" s="3"/>
      <c r="H23" s="3"/>
      <c r="I23" s="3"/>
      <c r="J23" s="20">
        <f>IF(H$12=0,0,H23/H$12)</f>
        <v>0</v>
      </c>
      <c r="K23" s="3"/>
      <c r="L23" s="3">
        <f>+D23-H23</f>
        <v>67736.149999999994</v>
      </c>
      <c r="M23" s="3"/>
      <c r="N23" s="20">
        <f>IF(H23=0,0,L23/H23)</f>
        <v>0</v>
      </c>
      <c r="O23" s="12"/>
      <c r="P23" s="3">
        <v>233685.18</v>
      </c>
      <c r="Q23" s="3"/>
      <c r="R23" s="20">
        <f>IF(P$12=0,0,P23/P$12)</f>
        <v>0.12967545884301046</v>
      </c>
      <c r="S23" s="3"/>
      <c r="T23" s="3"/>
      <c r="U23" s="3"/>
      <c r="V23" s="20">
        <f>IF(T$12=0,0,T23/T$12)</f>
        <v>0</v>
      </c>
      <c r="W23" s="3"/>
      <c r="X23" s="3">
        <f>+P23-T23</f>
        <v>233685.18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289</v>
      </c>
      <c r="C25" s="27"/>
      <c r="D25" s="21">
        <f>D12-D20</f>
        <v>261458.08000000002</v>
      </c>
      <c r="E25" s="15"/>
      <c r="F25" s="23">
        <f>IF(D$12=0,0,D25/D$12)</f>
        <v>0.64755024662493599</v>
      </c>
      <c r="G25" s="15"/>
      <c r="H25" s="21">
        <f>H12-H20</f>
        <v>295674</v>
      </c>
      <c r="I25" s="15"/>
      <c r="J25" s="23">
        <f>IF(H$12=0,0,H25/H$12)</f>
        <v>0.62865355952960589</v>
      </c>
      <c r="K25" s="17"/>
      <c r="L25" s="21">
        <f>+D25-H25</f>
        <v>-34215.919999999984</v>
      </c>
      <c r="M25" s="17"/>
      <c r="N25" s="23">
        <f>IF(H25=0,0,L25/H25)</f>
        <v>-0.11572177465722377</v>
      </c>
      <c r="O25" s="28"/>
      <c r="P25" s="21">
        <f>P12-P20</f>
        <v>1096834.5600000001</v>
      </c>
      <c r="Q25" s="15"/>
      <c r="R25" s="23">
        <f>IF(P$12=0,0,P25/P$12)</f>
        <v>0.60865017132396448</v>
      </c>
      <c r="S25" s="15"/>
      <c r="T25" s="21">
        <f>T12-T20</f>
        <v>1421955</v>
      </c>
      <c r="U25" s="15"/>
      <c r="V25" s="23">
        <f>IF(T$12=0,0,T25/T$12)</f>
        <v>0.62688191763163392</v>
      </c>
      <c r="W25" s="17"/>
      <c r="X25" s="21">
        <f>+P25-T25</f>
        <v>-325120.43999999994</v>
      </c>
      <c r="Y25" s="17"/>
      <c r="Z25" s="23">
        <f>IF(T25=0,0,X25/T25)</f>
        <v>-0.22864326930177112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8" t="s">
        <v>290</v>
      </c>
      <c r="C27" s="11"/>
      <c r="D27" s="22" cm="1">
        <f t="array" ref="D27">SUM(OSRRefD22x_0)</f>
        <v>308163.72000000009</v>
      </c>
      <c r="E27" s="22"/>
      <c r="F27" s="33">
        <f t="shared" ref="F27:F58" si="4">IF(D$12=0,0,D27/D$12)</f>
        <v>0.76322557285993142</v>
      </c>
      <c r="G27" s="22"/>
      <c r="H27" s="22" cm="1">
        <f t="array" ref="H27">SUM(OSRRefH22x_0)</f>
        <v>278899.65717729251</v>
      </c>
      <c r="I27" s="22"/>
      <c r="J27" s="33">
        <f t="shared" ref="J27:J58" si="5">IF(H$12=0,0,H27/H$12)</f>
        <v>0.5929884340053293</v>
      </c>
      <c r="K27" s="5"/>
      <c r="L27" s="22">
        <f t="shared" ref="L27:L58" si="6">+D27-H27</f>
        <v>29264.062822707579</v>
      </c>
      <c r="M27" s="5"/>
      <c r="N27" s="33">
        <f t="shared" ref="N27:N58" si="7">IF(H27=0,0,L27/H27)</f>
        <v>0.10492685117968731</v>
      </c>
      <c r="O27" s="11"/>
      <c r="P27" s="22" cm="1">
        <f t="array" ref="P27">SUM(OSRRefP22x_0)</f>
        <v>2221471.9500000002</v>
      </c>
      <c r="Q27" s="22"/>
      <c r="R27" s="33">
        <f t="shared" ref="R27:R58" si="8">IF(P$12=0,0,P27/P$12)</f>
        <v>1.2327285556710408</v>
      </c>
      <c r="S27" s="22"/>
      <c r="T27" s="22" cm="1">
        <f t="array" ref="T27">SUM(OSRRefT22x_0)</f>
        <v>2262176.3662210759</v>
      </c>
      <c r="U27" s="22"/>
      <c r="V27" s="33">
        <f t="shared" ref="V27:V58" si="9">IF(T$12=0,0,T27/T$12)</f>
        <v>0.99730122154191203</v>
      </c>
      <c r="W27" s="5"/>
      <c r="X27" s="22">
        <f t="shared" ref="X27:X58" si="10">+P27-T27</f>
        <v>-40704.416221075691</v>
      </c>
      <c r="Y27" s="5"/>
      <c r="Z27" s="33">
        <f t="shared" ref="Z27:Z58" si="11">IF(T27=0,0,X27/T27)</f>
        <v>-1.7993476029931156E-2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41835.269999999997</v>
      </c>
      <c r="E28" s="2"/>
      <c r="F28" s="6">
        <f t="shared" si="4"/>
        <v>0.10361293636869354</v>
      </c>
      <c r="G28" s="2"/>
      <c r="H28" s="2">
        <f>SUM(OSRRefH22_0x_0)</f>
        <v>41051.309123831015</v>
      </c>
      <c r="I28" s="2"/>
      <c r="J28" s="6">
        <f t="shared" si="5"/>
        <v>8.7282113422372451E-2</v>
      </c>
      <c r="K28" s="2"/>
      <c r="L28" s="2">
        <f t="shared" si="6"/>
        <v>783.96087616898149</v>
      </c>
      <c r="M28" s="2"/>
      <c r="N28" s="6">
        <f t="shared" si="7"/>
        <v>1.909709806827764E-2</v>
      </c>
      <c r="O28" s="14"/>
      <c r="P28" s="2">
        <f>SUM(OSRRefP22_0x_0)</f>
        <v>340488.30999999994</v>
      </c>
      <c r="Q28" s="2"/>
      <c r="R28" s="6">
        <f t="shared" si="8"/>
        <v>0.18894213929155104</v>
      </c>
      <c r="S28" s="2"/>
      <c r="T28" s="2">
        <f>SUM(OSRRefT22_0x_0)</f>
        <v>339866.52935261402</v>
      </c>
      <c r="U28" s="2"/>
      <c r="V28" s="6">
        <f t="shared" si="9"/>
        <v>0.14983327999787241</v>
      </c>
      <c r="W28" s="2"/>
      <c r="X28" s="2">
        <f t="shared" si="10"/>
        <v>621.78064738592366</v>
      </c>
      <c r="Y28" s="2"/>
      <c r="Z28" s="6">
        <f t="shared" si="11"/>
        <v>1.8294847938404128E-3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7">
        <v>8970.32</v>
      </c>
      <c r="E29" s="3"/>
      <c r="F29" s="8">
        <f t="shared" si="4"/>
        <v>2.2216689299885455E-2</v>
      </c>
      <c r="G29" s="3"/>
      <c r="H29" s="7">
        <v>5554.4906212156202</v>
      </c>
      <c r="I29" s="3"/>
      <c r="J29" s="8">
        <f t="shared" si="5"/>
        <v>1.1809798292717694E-2</v>
      </c>
      <c r="K29" s="3"/>
      <c r="L29" s="7">
        <f t="shared" si="6"/>
        <v>3415.8293787843795</v>
      </c>
      <c r="M29" s="3"/>
      <c r="N29" s="8">
        <f t="shared" si="7"/>
        <v>0.61496717011951907</v>
      </c>
      <c r="O29" s="12"/>
      <c r="P29" s="7">
        <v>53199.45</v>
      </c>
      <c r="Q29" s="3"/>
      <c r="R29" s="8">
        <f t="shared" si="8"/>
        <v>2.9521183538236323E-2</v>
      </c>
      <c r="S29" s="3"/>
      <c r="T29" s="7">
        <v>44173.119274306599</v>
      </c>
      <c r="U29" s="3"/>
      <c r="V29" s="8">
        <f t="shared" si="9"/>
        <v>1.9474125213841655E-2</v>
      </c>
      <c r="W29" s="3"/>
      <c r="X29" s="7">
        <f t="shared" si="10"/>
        <v>9026.3307256933986</v>
      </c>
      <c r="Y29" s="3"/>
      <c r="Z29" s="8">
        <f t="shared" si="11"/>
        <v>0.20433989887926221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7">
        <v>3285.65</v>
      </c>
      <c r="E30" s="3"/>
      <c r="F30" s="8">
        <f t="shared" si="4"/>
        <v>8.1375319050121572E-3</v>
      </c>
      <c r="G30" s="3"/>
      <c r="H30" s="7">
        <v>4975.9375444069301</v>
      </c>
      <c r="I30" s="3"/>
      <c r="J30" s="8">
        <f t="shared" si="5"/>
        <v>1.057969537155253E-2</v>
      </c>
      <c r="K30" s="3"/>
      <c r="L30" s="7">
        <f t="shared" si="6"/>
        <v>-1690.28754440693</v>
      </c>
      <c r="M30" s="3"/>
      <c r="N30" s="8">
        <f t="shared" si="7"/>
        <v>-0.33969227493758491</v>
      </c>
      <c r="O30" s="12"/>
      <c r="P30" s="7">
        <v>23801.78</v>
      </c>
      <c r="Q30" s="3"/>
      <c r="R30" s="8">
        <f t="shared" si="8"/>
        <v>1.3207969554510856E-2</v>
      </c>
      <c r="S30" s="3"/>
      <c r="T30" s="7">
        <v>35360.238483536901</v>
      </c>
      <c r="U30" s="3"/>
      <c r="V30" s="8">
        <f t="shared" si="9"/>
        <v>1.5588885800515144E-2</v>
      </c>
      <c r="W30" s="3"/>
      <c r="X30" s="7">
        <f t="shared" si="10"/>
        <v>-11558.458483536902</v>
      </c>
      <c r="Y30" s="3"/>
      <c r="Z30" s="8">
        <f t="shared" si="11"/>
        <v>-0.32687727739501293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7">
        <v>13094.96</v>
      </c>
      <c r="E31" s="3"/>
      <c r="F31" s="8">
        <f t="shared" si="4"/>
        <v>3.2432138175051507E-2</v>
      </c>
      <c r="G31" s="3"/>
      <c r="H31" s="7">
        <v>17685</v>
      </c>
      <c r="I31" s="3"/>
      <c r="J31" s="8">
        <f t="shared" si="5"/>
        <v>3.7601338637421891E-2</v>
      </c>
      <c r="K31" s="3"/>
      <c r="L31" s="7">
        <f t="shared" si="6"/>
        <v>-4590.0400000000009</v>
      </c>
      <c r="M31" s="3"/>
      <c r="N31" s="8">
        <f t="shared" si="7"/>
        <v>-0.25954424653661301</v>
      </c>
      <c r="O31" s="12"/>
      <c r="P31" s="7">
        <v>132811.75</v>
      </c>
      <c r="Q31" s="3"/>
      <c r="R31" s="8">
        <f t="shared" si="8"/>
        <v>7.369925906723393E-2</v>
      </c>
      <c r="S31" s="3"/>
      <c r="T31" s="7">
        <v>157037.042307692</v>
      </c>
      <c r="U31" s="3"/>
      <c r="V31" s="8">
        <f t="shared" si="9"/>
        <v>6.9231221959236394E-2</v>
      </c>
      <c r="W31" s="3"/>
      <c r="X31" s="7">
        <f t="shared" si="10"/>
        <v>-24225.292307691998</v>
      </c>
      <c r="Y31" s="3"/>
      <c r="Z31" s="8">
        <f t="shared" si="11"/>
        <v>-0.15426482791382395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7">
        <v>309.07</v>
      </c>
      <c r="E32" s="3"/>
      <c r="F32" s="8">
        <f t="shared" si="4"/>
        <v>7.6547014620611056E-4</v>
      </c>
      <c r="G32" s="3"/>
      <c r="H32" s="7">
        <v>275.711578977692</v>
      </c>
      <c r="I32" s="3"/>
      <c r="J32" s="8">
        <f t="shared" si="5"/>
        <v>5.8621003377995408E-4</v>
      </c>
      <c r="K32" s="3"/>
      <c r="L32" s="7">
        <f t="shared" si="6"/>
        <v>33.358421022307994</v>
      </c>
      <c r="M32" s="3"/>
      <c r="N32" s="8">
        <f t="shared" si="7"/>
        <v>0.12099027957402922</v>
      </c>
      <c r="O32" s="12"/>
      <c r="P32" s="7">
        <v>2206.9299999999998</v>
      </c>
      <c r="Q32" s="3"/>
      <c r="R32" s="8">
        <f t="shared" si="8"/>
        <v>1.2246590065506295E-3</v>
      </c>
      <c r="S32" s="3"/>
      <c r="T32" s="7">
        <v>1959.27442784769</v>
      </c>
      <c r="U32" s="3"/>
      <c r="V32" s="8">
        <f t="shared" si="9"/>
        <v>8.6376412087287035E-4</v>
      </c>
      <c r="W32" s="3"/>
      <c r="X32" s="7">
        <f t="shared" si="10"/>
        <v>247.65557215230979</v>
      </c>
      <c r="Y32" s="3"/>
      <c r="Z32" s="8">
        <f t="shared" si="11"/>
        <v>0.12640167637178085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7">
        <v>5219.79</v>
      </c>
      <c r="E33" s="3"/>
      <c r="F33" s="8">
        <f t="shared" si="4"/>
        <v>1.2927794397596641E-2</v>
      </c>
      <c r="G33" s="3"/>
      <c r="H33" s="7">
        <v>3998.9636980769301</v>
      </c>
      <c r="I33" s="3"/>
      <c r="J33" s="8">
        <f t="shared" si="5"/>
        <v>8.5024816629995816E-3</v>
      </c>
      <c r="K33" s="3"/>
      <c r="L33" s="7">
        <f t="shared" si="6"/>
        <v>1220.8263019230699</v>
      </c>
      <c r="M33" s="3"/>
      <c r="N33" s="8">
        <f t="shared" si="7"/>
        <v>0.30528566751184955</v>
      </c>
      <c r="O33" s="12"/>
      <c r="P33" s="7">
        <v>37306.980000000003</v>
      </c>
      <c r="Q33" s="3"/>
      <c r="R33" s="8">
        <f t="shared" si="8"/>
        <v>2.0702210339342077E-2</v>
      </c>
      <c r="S33" s="3"/>
      <c r="T33" s="7">
        <v>32250.093343076998</v>
      </c>
      <c r="U33" s="3"/>
      <c r="V33" s="8">
        <f t="shared" si="9"/>
        <v>1.4217749759104403E-2</v>
      </c>
      <c r="W33" s="3"/>
      <c r="X33" s="7">
        <f t="shared" si="10"/>
        <v>5056.8866569230049</v>
      </c>
      <c r="Y33" s="3"/>
      <c r="Z33" s="8">
        <f t="shared" si="11"/>
        <v>0.15680223319442105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7"/>
      <c r="E34" s="3"/>
      <c r="F34" s="8">
        <f t="shared" si="4"/>
        <v>0</v>
      </c>
      <c r="G34" s="3"/>
      <c r="H34" s="7">
        <v>0</v>
      </c>
      <c r="I34" s="3"/>
      <c r="J34" s="8">
        <f t="shared" si="5"/>
        <v>0</v>
      </c>
      <c r="K34" s="3"/>
      <c r="L34" s="7">
        <f t="shared" si="6"/>
        <v>0</v>
      </c>
      <c r="M34" s="3"/>
      <c r="N34" s="8">
        <f t="shared" si="7"/>
        <v>0</v>
      </c>
      <c r="O34" s="12"/>
      <c r="P34" s="7"/>
      <c r="Q34" s="3"/>
      <c r="R34" s="8">
        <f t="shared" si="8"/>
        <v>0</v>
      </c>
      <c r="S34" s="3"/>
      <c r="T34" s="7">
        <v>0</v>
      </c>
      <c r="U34" s="3"/>
      <c r="V34" s="8">
        <f t="shared" si="9"/>
        <v>0</v>
      </c>
      <c r="W34" s="3"/>
      <c r="X34" s="7">
        <f t="shared" si="10"/>
        <v>0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7">
        <v>268.02999999999997</v>
      </c>
      <c r="E35" s="3"/>
      <c r="F35" s="8">
        <f t="shared" si="4"/>
        <v>6.6382684598189344E-4</v>
      </c>
      <c r="G35" s="3"/>
      <c r="H35" s="7"/>
      <c r="I35" s="3"/>
      <c r="J35" s="8">
        <f t="shared" si="5"/>
        <v>0</v>
      </c>
      <c r="K35" s="3"/>
      <c r="L35" s="7">
        <f t="shared" si="6"/>
        <v>268.02999999999997</v>
      </c>
      <c r="M35" s="3"/>
      <c r="N35" s="8">
        <f t="shared" si="7"/>
        <v>0</v>
      </c>
      <c r="O35" s="12"/>
      <c r="P35" s="7">
        <v>1161.58</v>
      </c>
      <c r="Q35" s="3"/>
      <c r="R35" s="8">
        <f t="shared" si="8"/>
        <v>6.4457840023429843E-4</v>
      </c>
      <c r="S35" s="3"/>
      <c r="T35" s="7"/>
      <c r="U35" s="3"/>
      <c r="V35" s="8">
        <f t="shared" si="9"/>
        <v>0</v>
      </c>
      <c r="W35" s="3"/>
      <c r="X35" s="7">
        <f t="shared" si="10"/>
        <v>1161.58</v>
      </c>
      <c r="Y35" s="3"/>
      <c r="Z35" s="8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7">
        <v>4943.88</v>
      </c>
      <c r="E36" s="3"/>
      <c r="F36" s="8">
        <f t="shared" si="4"/>
        <v>1.2244451245431345E-2</v>
      </c>
      <c r="G36" s="3"/>
      <c r="H36" s="7">
        <v>3326.9340540769199</v>
      </c>
      <c r="I36" s="3"/>
      <c r="J36" s="8">
        <f t="shared" si="5"/>
        <v>7.0736315516944943E-3</v>
      </c>
      <c r="K36" s="3"/>
      <c r="L36" s="7">
        <f t="shared" si="6"/>
        <v>1616.9459459230802</v>
      </c>
      <c r="M36" s="3"/>
      <c r="N36" s="8">
        <f t="shared" si="7"/>
        <v>0.48601683100439835</v>
      </c>
      <c r="O36" s="12"/>
      <c r="P36" s="7">
        <v>38751.06</v>
      </c>
      <c r="Q36" s="3"/>
      <c r="R36" s="8">
        <f t="shared" si="8"/>
        <v>2.1503552284115872E-2</v>
      </c>
      <c r="S36" s="3"/>
      <c r="T36" s="7">
        <v>28032.8008950769</v>
      </c>
      <c r="U36" s="3"/>
      <c r="V36" s="8">
        <f t="shared" si="9"/>
        <v>1.2358517661734437E-2</v>
      </c>
      <c r="W36" s="3"/>
      <c r="X36" s="7">
        <f t="shared" si="10"/>
        <v>10718.259104923098</v>
      </c>
      <c r="Y36" s="3"/>
      <c r="Z36" s="8">
        <f t="shared" si="11"/>
        <v>0.38234706353603898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7">
        <v>3717.86</v>
      </c>
      <c r="E37" s="3"/>
      <c r="F37" s="8">
        <f t="shared" si="4"/>
        <v>9.2079814856629583E-3</v>
      </c>
      <c r="G37" s="3"/>
      <c r="H37" s="7">
        <v>2889.2716270769201</v>
      </c>
      <c r="I37" s="3"/>
      <c r="J37" s="8">
        <f t="shared" si="5"/>
        <v>6.143086280193057E-3</v>
      </c>
      <c r="K37" s="3"/>
      <c r="L37" s="7">
        <f t="shared" si="6"/>
        <v>828.58837292307999</v>
      </c>
      <c r="M37" s="3"/>
      <c r="N37" s="8">
        <f t="shared" si="7"/>
        <v>0.28678105760563743</v>
      </c>
      <c r="O37" s="12"/>
      <c r="P37" s="7">
        <v>33265.980000000003</v>
      </c>
      <c r="Q37" s="3"/>
      <c r="R37" s="8">
        <f t="shared" si="8"/>
        <v>1.8459798008424878E-2</v>
      </c>
      <c r="S37" s="3"/>
      <c r="T37" s="7">
        <v>20283.960621076902</v>
      </c>
      <c r="U37" s="3"/>
      <c r="V37" s="8">
        <f t="shared" si="9"/>
        <v>8.9423702798648603E-3</v>
      </c>
      <c r="W37" s="3"/>
      <c r="X37" s="7">
        <f t="shared" si="10"/>
        <v>12982.019378923102</v>
      </c>
      <c r="Y37" s="3"/>
      <c r="Z37" s="8">
        <f t="shared" si="11"/>
        <v>0.64001402987509204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7">
        <v>2025.71</v>
      </c>
      <c r="E38" s="3"/>
      <c r="F38" s="8">
        <f t="shared" si="4"/>
        <v>5.017052867865468E-3</v>
      </c>
      <c r="G38" s="3"/>
      <c r="H38" s="7">
        <v>2345</v>
      </c>
      <c r="I38" s="3"/>
      <c r="J38" s="8">
        <f t="shared" si="5"/>
        <v>4.9858715920132503E-3</v>
      </c>
      <c r="K38" s="3"/>
      <c r="L38" s="7">
        <f t="shared" si="6"/>
        <v>-319.28999999999996</v>
      </c>
      <c r="M38" s="3"/>
      <c r="N38" s="8">
        <f t="shared" si="7"/>
        <v>-0.13615778251599145</v>
      </c>
      <c r="O38" s="12"/>
      <c r="P38" s="7">
        <v>17982.8</v>
      </c>
      <c r="Q38" s="3"/>
      <c r="R38" s="8">
        <f t="shared" si="8"/>
        <v>9.9789290929022043E-3</v>
      </c>
      <c r="S38" s="3"/>
      <c r="T38" s="7">
        <v>20770</v>
      </c>
      <c r="U38" s="3"/>
      <c r="V38" s="8">
        <f t="shared" si="9"/>
        <v>9.1566452027026426E-3</v>
      </c>
      <c r="W38" s="3"/>
      <c r="X38" s="7">
        <f t="shared" si="10"/>
        <v>-2787.2000000000007</v>
      </c>
      <c r="Y38" s="3"/>
      <c r="Z38" s="8">
        <f t="shared" si="11"/>
        <v>-0.13419354838709682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145744.21</v>
      </c>
      <c r="E39" s="2"/>
      <c r="F39" s="6">
        <f t="shared" si="4"/>
        <v>0.36096302370787875</v>
      </c>
      <c r="G39" s="2"/>
      <c r="H39" s="2">
        <f>SUM(OSRRefH22_1x_0)</f>
        <v>125241.09805346149</v>
      </c>
      <c r="I39" s="2"/>
      <c r="J39" s="6">
        <f t="shared" si="5"/>
        <v>0.26628402257454142</v>
      </c>
      <c r="K39" s="2"/>
      <c r="L39" s="2">
        <f t="shared" si="6"/>
        <v>20503.111946538498</v>
      </c>
      <c r="M39" s="2"/>
      <c r="N39" s="6">
        <f t="shared" si="7"/>
        <v>0.16370913594023556</v>
      </c>
      <c r="O39" s="14"/>
      <c r="P39" s="2">
        <f>SUM(OSRRefP22_1x_0)</f>
        <v>871401.77000000014</v>
      </c>
      <c r="Q39" s="2"/>
      <c r="R39" s="6">
        <f t="shared" si="8"/>
        <v>0.48355408914404191</v>
      </c>
      <c r="S39" s="2"/>
      <c r="T39" s="2">
        <f>SUM(OSRRefT22_1x_0)</f>
        <v>885575.08686846192</v>
      </c>
      <c r="U39" s="2"/>
      <c r="V39" s="6">
        <f t="shared" si="9"/>
        <v>0.39041390807930082</v>
      </c>
      <c r="W39" s="2"/>
      <c r="X39" s="2">
        <f t="shared" si="10"/>
        <v>-14173.316868461785</v>
      </c>
      <c r="Y39" s="2"/>
      <c r="Z39" s="6">
        <f t="shared" si="11"/>
        <v>-1.6004647238418764E-2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7">
        <v>12087.68</v>
      </c>
      <c r="E40" s="3"/>
      <c r="F40" s="8">
        <f t="shared" si="4"/>
        <v>2.9937419280074672E-2</v>
      </c>
      <c r="G40" s="3"/>
      <c r="H40" s="7">
        <v>12835.384615384601</v>
      </c>
      <c r="I40" s="3"/>
      <c r="J40" s="8">
        <f t="shared" si="5"/>
        <v>2.729022581083582E-2</v>
      </c>
      <c r="K40" s="3"/>
      <c r="L40" s="7">
        <f t="shared" si="6"/>
        <v>-747.7046153846004</v>
      </c>
      <c r="M40" s="3"/>
      <c r="N40" s="8">
        <f t="shared" si="7"/>
        <v>-5.8253386072155196E-2</v>
      </c>
      <c r="O40" s="12"/>
      <c r="P40" s="7">
        <v>112796.03</v>
      </c>
      <c r="Q40" s="3"/>
      <c r="R40" s="8">
        <f t="shared" si="8"/>
        <v>6.2592231762065409E-2</v>
      </c>
      <c r="S40" s="3"/>
      <c r="T40" s="7">
        <v>112951.384615385</v>
      </c>
      <c r="U40" s="3"/>
      <c r="V40" s="8">
        <f t="shared" si="9"/>
        <v>4.9795654986860192E-2</v>
      </c>
      <c r="W40" s="3"/>
      <c r="X40" s="7">
        <f t="shared" si="10"/>
        <v>-155.35461538500385</v>
      </c>
      <c r="Y40" s="3"/>
      <c r="Z40" s="8">
        <f t="shared" si="11"/>
        <v>-1.3754113410296624E-3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7">
        <v>30741.93</v>
      </c>
      <c r="E41" s="3"/>
      <c r="F41" s="8">
        <f t="shared" si="4"/>
        <v>7.6138187633086413E-2</v>
      </c>
      <c r="G41" s="3"/>
      <c r="H41" s="7">
        <v>29940.7912980769</v>
      </c>
      <c r="I41" s="3"/>
      <c r="J41" s="8">
        <f t="shared" si="5"/>
        <v>6.3659249797645687E-2</v>
      </c>
      <c r="K41" s="3"/>
      <c r="L41" s="7">
        <f t="shared" si="6"/>
        <v>801.1387019231006</v>
      </c>
      <c r="M41" s="3"/>
      <c r="N41" s="8">
        <f t="shared" si="7"/>
        <v>2.6757432492258742E-2</v>
      </c>
      <c r="O41" s="12"/>
      <c r="P41" s="7">
        <v>248044.51</v>
      </c>
      <c r="Q41" s="3"/>
      <c r="R41" s="8">
        <f t="shared" si="8"/>
        <v>0.13764366934924882</v>
      </c>
      <c r="S41" s="3"/>
      <c r="T41" s="7">
        <v>230993.52342307699</v>
      </c>
      <c r="U41" s="3"/>
      <c r="V41" s="8">
        <f t="shared" si="9"/>
        <v>0.10183561570088101</v>
      </c>
      <c r="W41" s="3"/>
      <c r="X41" s="7">
        <f t="shared" si="10"/>
        <v>17050.986576923024</v>
      </c>
      <c r="Y41" s="3"/>
      <c r="Z41" s="8">
        <f t="shared" si="11"/>
        <v>7.3815864290243449E-2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7">
        <v>26275.26</v>
      </c>
      <c r="E43" s="3"/>
      <c r="F43" s="8">
        <f t="shared" si="4"/>
        <v>6.5075636955393826E-2</v>
      </c>
      <c r="G43" s="3"/>
      <c r="H43" s="7">
        <v>23766.23619</v>
      </c>
      <c r="I43" s="3"/>
      <c r="J43" s="8">
        <f t="shared" si="5"/>
        <v>5.0531088216971526E-2</v>
      </c>
      <c r="K43" s="3"/>
      <c r="L43" s="7">
        <f t="shared" si="6"/>
        <v>2509.0238099999988</v>
      </c>
      <c r="M43" s="3"/>
      <c r="N43" s="8">
        <f t="shared" si="7"/>
        <v>0.10557093643021642</v>
      </c>
      <c r="O43" s="12"/>
      <c r="P43" s="7">
        <v>135120.91</v>
      </c>
      <c r="Q43" s="3"/>
      <c r="R43" s="8">
        <f t="shared" si="8"/>
        <v>7.4980647054875796E-2</v>
      </c>
      <c r="S43" s="3"/>
      <c r="T43" s="7">
        <v>177918.76803000001</v>
      </c>
      <c r="U43" s="3"/>
      <c r="V43" s="8">
        <f t="shared" si="9"/>
        <v>7.8437122472444096E-2</v>
      </c>
      <c r="W43" s="3"/>
      <c r="X43" s="7">
        <f t="shared" si="10"/>
        <v>-42797.858030000003</v>
      </c>
      <c r="Y43" s="3"/>
      <c r="Z43" s="8">
        <f t="shared" si="11"/>
        <v>-0.24054718062561892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7">
        <v>28622.11</v>
      </c>
      <c r="E44" s="3"/>
      <c r="F44" s="8">
        <f t="shared" si="4"/>
        <v>7.0888053600890996E-2</v>
      </c>
      <c r="G44" s="3"/>
      <c r="H44" s="7">
        <v>12853.3536</v>
      </c>
      <c r="I44" s="3"/>
      <c r="J44" s="8">
        <f t="shared" si="5"/>
        <v>2.7328430949399251E-2</v>
      </c>
      <c r="K44" s="3"/>
      <c r="L44" s="7">
        <f t="shared" si="6"/>
        <v>15768.7564</v>
      </c>
      <c r="M44" s="3"/>
      <c r="N44" s="8">
        <f t="shared" si="7"/>
        <v>1.2268203996192868</v>
      </c>
      <c r="O44" s="12"/>
      <c r="P44" s="7">
        <v>144986.5</v>
      </c>
      <c r="Q44" s="3"/>
      <c r="R44" s="8">
        <f t="shared" si="8"/>
        <v>8.0455212921684352E-2</v>
      </c>
      <c r="S44" s="3"/>
      <c r="T44" s="7">
        <v>103738.88585000001</v>
      </c>
      <c r="U44" s="3"/>
      <c r="V44" s="8">
        <f t="shared" si="9"/>
        <v>4.5734240320275378E-2</v>
      </c>
      <c r="W44" s="3"/>
      <c r="X44" s="7">
        <f t="shared" si="10"/>
        <v>41247.614149999994</v>
      </c>
      <c r="Y44" s="3"/>
      <c r="Z44" s="8">
        <f t="shared" si="11"/>
        <v>0.39760995900458662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7">
        <v>2858.76</v>
      </c>
      <c r="E45" s="3"/>
      <c r="F45" s="8">
        <f t="shared" si="4"/>
        <v>7.0802583077237543E-3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2858.76</v>
      </c>
      <c r="M45" s="3"/>
      <c r="N45" s="8">
        <f t="shared" si="7"/>
        <v>0</v>
      </c>
      <c r="O45" s="12"/>
      <c r="P45" s="7">
        <v>5202</v>
      </c>
      <c r="Q45" s="3"/>
      <c r="R45" s="8">
        <f t="shared" si="8"/>
        <v>2.8866688803343898E-3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5202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7">
        <v>37611.370000000003</v>
      </c>
      <c r="E46" s="3"/>
      <c r="F46" s="8">
        <f t="shared" si="4"/>
        <v>9.315165138289748E-2</v>
      </c>
      <c r="G46" s="3"/>
      <c r="H46" s="7">
        <v>1415.6956</v>
      </c>
      <c r="I46" s="3"/>
      <c r="J46" s="8">
        <f t="shared" si="5"/>
        <v>3.0100112899693618E-3</v>
      </c>
      <c r="K46" s="3"/>
      <c r="L46" s="7">
        <f t="shared" si="6"/>
        <v>36195.674400000004</v>
      </c>
      <c r="M46" s="3"/>
      <c r="N46" s="8">
        <f t="shared" si="7"/>
        <v>25.567413220751696</v>
      </c>
      <c r="O46" s="12"/>
      <c r="P46" s="7">
        <v>210580.03</v>
      </c>
      <c r="Q46" s="3"/>
      <c r="R46" s="8">
        <f t="shared" si="8"/>
        <v>0.11685405986560597</v>
      </c>
      <c r="S46" s="3"/>
      <c r="T46" s="7">
        <v>16993.042399999998</v>
      </c>
      <c r="U46" s="3"/>
      <c r="V46" s="8">
        <f t="shared" si="9"/>
        <v>7.4915387660704187E-3</v>
      </c>
      <c r="W46" s="3"/>
      <c r="X46" s="7">
        <f t="shared" si="10"/>
        <v>193586.98759999999</v>
      </c>
      <c r="Y46" s="3"/>
      <c r="Z46" s="8">
        <f t="shared" si="11"/>
        <v>11.392132323520832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7">
        <v>7547.1</v>
      </c>
      <c r="E47" s="3"/>
      <c r="F47" s="8">
        <f t="shared" si="4"/>
        <v>1.8691816547811619E-2</v>
      </c>
      <c r="G47" s="3"/>
      <c r="H47" s="7">
        <v>44429.636749999998</v>
      </c>
      <c r="I47" s="3"/>
      <c r="J47" s="8">
        <f t="shared" si="5"/>
        <v>9.4465016509719793E-2</v>
      </c>
      <c r="K47" s="3"/>
      <c r="L47" s="7">
        <f t="shared" si="6"/>
        <v>-36882.536749999999</v>
      </c>
      <c r="M47" s="3"/>
      <c r="N47" s="8">
        <f t="shared" si="7"/>
        <v>-0.83013365509903703</v>
      </c>
      <c r="O47" s="12"/>
      <c r="P47" s="7">
        <v>14671.79</v>
      </c>
      <c r="Q47" s="3"/>
      <c r="R47" s="8">
        <f t="shared" si="8"/>
        <v>8.1415993102270864E-3</v>
      </c>
      <c r="S47" s="3"/>
      <c r="T47" s="7">
        <v>242979.48254999999</v>
      </c>
      <c r="U47" s="3"/>
      <c r="V47" s="8">
        <f t="shared" si="9"/>
        <v>0.10711973583276976</v>
      </c>
      <c r="W47" s="3"/>
      <c r="X47" s="7">
        <f t="shared" si="10"/>
        <v>-228307.69254999998</v>
      </c>
      <c r="Y47" s="3"/>
      <c r="Z47" s="8">
        <f t="shared" si="11"/>
        <v>-0.93961716501317816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7"/>
      <c r="E49" s="3"/>
      <c r="F49" s="8">
        <f t="shared" si="4"/>
        <v>0</v>
      </c>
      <c r="G49" s="3"/>
      <c r="H49" s="7">
        <v>0</v>
      </c>
      <c r="I49" s="3"/>
      <c r="J49" s="8">
        <f t="shared" si="5"/>
        <v>0</v>
      </c>
      <c r="K49" s="3"/>
      <c r="L49" s="7">
        <f t="shared" si="6"/>
        <v>0</v>
      </c>
      <c r="M49" s="3"/>
      <c r="N49" s="8">
        <f t="shared" si="7"/>
        <v>0</v>
      </c>
      <c r="O49" s="12"/>
      <c r="P49" s="7"/>
      <c r="Q49" s="3"/>
      <c r="R49" s="8">
        <f t="shared" si="8"/>
        <v>0</v>
      </c>
      <c r="S49" s="3"/>
      <c r="T49" s="7">
        <v>0</v>
      </c>
      <c r="U49" s="3"/>
      <c r="V49" s="8">
        <f t="shared" si="9"/>
        <v>0</v>
      </c>
      <c r="W49" s="3"/>
      <c r="X49" s="7">
        <f t="shared" si="10"/>
        <v>0</v>
      </c>
      <c r="Y49" s="3"/>
      <c r="Z49" s="8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602.39</v>
      </c>
      <c r="E50" s="2"/>
      <c r="F50" s="6">
        <f t="shared" si="4"/>
        <v>1.4919324469314362E-3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602.39</v>
      </c>
      <c r="M50" s="2"/>
      <c r="N50" s="6">
        <f t="shared" si="7"/>
        <v>0</v>
      </c>
      <c r="O50" s="14"/>
      <c r="P50" s="2">
        <f>SUM(OSRRefP22_2x_0)</f>
        <v>2769.44</v>
      </c>
      <c r="Q50" s="2"/>
      <c r="R50" s="6">
        <f t="shared" si="8"/>
        <v>1.536804356776869E-3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2769.44</v>
      </c>
      <c r="Y50" s="2"/>
      <c r="Z50" s="6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7">
        <v>602.39</v>
      </c>
      <c r="E51" s="3"/>
      <c r="F51" s="8">
        <f t="shared" si="4"/>
        <v>1.4919324469314362E-3</v>
      </c>
      <c r="G51" s="3"/>
      <c r="H51" s="7"/>
      <c r="I51" s="3"/>
      <c r="J51" s="8">
        <f t="shared" si="5"/>
        <v>0</v>
      </c>
      <c r="K51" s="3"/>
      <c r="L51" s="7">
        <f t="shared" si="6"/>
        <v>602.39</v>
      </c>
      <c r="M51" s="3"/>
      <c r="N51" s="8">
        <f t="shared" si="7"/>
        <v>0</v>
      </c>
      <c r="O51" s="12"/>
      <c r="P51" s="7">
        <v>2769.44</v>
      </c>
      <c r="Q51" s="3"/>
      <c r="R51" s="8">
        <f t="shared" si="8"/>
        <v>1.536804356776869E-3</v>
      </c>
      <c r="S51" s="3"/>
      <c r="T51" s="7">
        <v>0</v>
      </c>
      <c r="U51" s="3"/>
      <c r="V51" s="8">
        <f t="shared" si="9"/>
        <v>0</v>
      </c>
      <c r="W51" s="3"/>
      <c r="X51" s="7">
        <f t="shared" si="10"/>
        <v>2769.44</v>
      </c>
      <c r="Y51" s="3"/>
      <c r="Z51" s="8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10.51</v>
      </c>
      <c r="E52" s="2"/>
      <c r="F52" s="6">
        <f t="shared" si="4"/>
        <v>2.6029997206542924E-5</v>
      </c>
      <c r="G52" s="2"/>
      <c r="H52" s="2">
        <f>SUM(OSRRefH22_3x_0)</f>
        <v>10</v>
      </c>
      <c r="I52" s="2"/>
      <c r="J52" s="6">
        <f t="shared" si="5"/>
        <v>2.1261712545898721E-5</v>
      </c>
      <c r="K52" s="2"/>
      <c r="L52" s="2">
        <f t="shared" si="6"/>
        <v>0.50999999999999979</v>
      </c>
      <c r="M52" s="2"/>
      <c r="N52" s="6">
        <f t="shared" si="7"/>
        <v>5.0999999999999976E-2</v>
      </c>
      <c r="O52" s="14"/>
      <c r="P52" s="2">
        <f>SUM(OSRRefP22_3x_0)</f>
        <v>-9.9499999999999993</v>
      </c>
      <c r="Q52" s="2"/>
      <c r="R52" s="6">
        <f t="shared" si="8"/>
        <v>-5.5214062590017645E-6</v>
      </c>
      <c r="S52" s="2"/>
      <c r="T52" s="2">
        <f>SUM(OSRRefT22_3x_0)</f>
        <v>70</v>
      </c>
      <c r="U52" s="2"/>
      <c r="V52" s="6">
        <f t="shared" si="9"/>
        <v>3.0860142714934284E-5</v>
      </c>
      <c r="W52" s="2"/>
      <c r="X52" s="2">
        <f t="shared" si="10"/>
        <v>-79.95</v>
      </c>
      <c r="Y52" s="2"/>
      <c r="Z52" s="6">
        <f t="shared" si="11"/>
        <v>-1.1421428571428571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7">
        <v>10.51</v>
      </c>
      <c r="E53" s="3"/>
      <c r="F53" s="8">
        <f t="shared" si="4"/>
        <v>2.6029997206542924E-5</v>
      </c>
      <c r="G53" s="3"/>
      <c r="H53" s="7">
        <v>10</v>
      </c>
      <c r="I53" s="3"/>
      <c r="J53" s="8">
        <f t="shared" si="5"/>
        <v>2.1261712545898721E-5</v>
      </c>
      <c r="K53" s="3"/>
      <c r="L53" s="7">
        <f t="shared" si="6"/>
        <v>0.50999999999999979</v>
      </c>
      <c r="M53" s="3"/>
      <c r="N53" s="8">
        <f t="shared" si="7"/>
        <v>5.0999999999999976E-2</v>
      </c>
      <c r="O53" s="12"/>
      <c r="P53" s="7">
        <v>-9.9499999999999993</v>
      </c>
      <c r="Q53" s="3"/>
      <c r="R53" s="8">
        <f t="shared" si="8"/>
        <v>-5.5214062590017645E-6</v>
      </c>
      <c r="S53" s="3"/>
      <c r="T53" s="7">
        <v>70</v>
      </c>
      <c r="U53" s="3"/>
      <c r="V53" s="8">
        <f t="shared" si="9"/>
        <v>3.0860142714934284E-5</v>
      </c>
      <c r="W53" s="3"/>
      <c r="X53" s="7">
        <f t="shared" si="10"/>
        <v>-79.95</v>
      </c>
      <c r="Y53" s="3"/>
      <c r="Z53" s="8">
        <f t="shared" si="11"/>
        <v>-1.1421428571428571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12691.87</v>
      </c>
      <c r="E54" s="2"/>
      <c r="F54" s="6">
        <f t="shared" si="4"/>
        <v>3.1433809766489629E-2</v>
      </c>
      <c r="G54" s="2"/>
      <c r="H54" s="2">
        <f>SUM(OSRRefH22_4x_0)</f>
        <v>21424.25</v>
      </c>
      <c r="I54" s="2"/>
      <c r="J54" s="6">
        <f t="shared" si="5"/>
        <v>4.5551624501147067E-2</v>
      </c>
      <c r="K54" s="2"/>
      <c r="L54" s="2">
        <f t="shared" si="6"/>
        <v>-8732.3799999999992</v>
      </c>
      <c r="M54" s="2"/>
      <c r="N54" s="6">
        <f t="shared" si="7"/>
        <v>-0.4075932646417027</v>
      </c>
      <c r="O54" s="14"/>
      <c r="P54" s="2">
        <f>SUM(OSRRefP22_4x_0)</f>
        <v>65424.51</v>
      </c>
      <c r="Q54" s="2"/>
      <c r="R54" s="6">
        <f t="shared" si="8"/>
        <v>3.6305055176494828E-2</v>
      </c>
      <c r="S54" s="2"/>
      <c r="T54" s="2">
        <f>SUM(OSRRefT22_4x_0)</f>
        <v>106671.75</v>
      </c>
      <c r="U54" s="2"/>
      <c r="V54" s="6">
        <f t="shared" si="9"/>
        <v>4.7027220409311302E-2</v>
      </c>
      <c r="W54" s="2"/>
      <c r="X54" s="2">
        <f t="shared" si="10"/>
        <v>-41247.24</v>
      </c>
      <c r="Y54" s="2"/>
      <c r="Z54" s="6">
        <f t="shared" si="11"/>
        <v>-0.38667444754585911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7">
        <v>12691.87</v>
      </c>
      <c r="E55" s="3"/>
      <c r="F55" s="8">
        <f t="shared" si="4"/>
        <v>3.1433809766489629E-2</v>
      </c>
      <c r="G55" s="3"/>
      <c r="H55" s="7">
        <v>21424.25</v>
      </c>
      <c r="I55" s="3"/>
      <c r="J55" s="8">
        <f t="shared" si="5"/>
        <v>4.5551624501147067E-2</v>
      </c>
      <c r="K55" s="3"/>
      <c r="L55" s="7">
        <f t="shared" si="6"/>
        <v>-8732.3799999999992</v>
      </c>
      <c r="M55" s="3"/>
      <c r="N55" s="8">
        <f t="shared" si="7"/>
        <v>-0.4075932646417027</v>
      </c>
      <c r="O55" s="12"/>
      <c r="P55" s="7">
        <v>65424.51</v>
      </c>
      <c r="Q55" s="3"/>
      <c r="R55" s="8">
        <f t="shared" si="8"/>
        <v>3.6305055176494828E-2</v>
      </c>
      <c r="S55" s="3"/>
      <c r="T55" s="7">
        <v>106671.75</v>
      </c>
      <c r="U55" s="3"/>
      <c r="V55" s="8">
        <f t="shared" si="9"/>
        <v>4.7027220409311302E-2</v>
      </c>
      <c r="W55" s="3"/>
      <c r="X55" s="7">
        <f t="shared" si="10"/>
        <v>-41247.24</v>
      </c>
      <c r="Y55" s="3"/>
      <c r="Z55" s="8">
        <f t="shared" si="11"/>
        <v>-0.38667444754585911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42402.47</v>
      </c>
      <c r="E56" s="2"/>
      <c r="F56" s="6">
        <f t="shared" si="4"/>
        <v>0.1050177141437222</v>
      </c>
      <c r="G56" s="2"/>
      <c r="H56" s="2">
        <f>SUM(OSRRefH22_5x_0)</f>
        <v>38532</v>
      </c>
      <c r="I56" s="2"/>
      <c r="J56" s="6">
        <f t="shared" si="5"/>
        <v>8.1925630781856953E-2</v>
      </c>
      <c r="K56" s="2"/>
      <c r="L56" s="2">
        <f t="shared" si="6"/>
        <v>3870.4700000000012</v>
      </c>
      <c r="M56" s="2"/>
      <c r="N56" s="6">
        <f t="shared" si="7"/>
        <v>0.10044819889961594</v>
      </c>
      <c r="O56" s="14"/>
      <c r="P56" s="2">
        <f>SUM(OSRRefP22_5x_0)</f>
        <v>396309.27999999997</v>
      </c>
      <c r="Q56" s="2"/>
      <c r="R56" s="6">
        <f t="shared" si="8"/>
        <v>0.21991804412989777</v>
      </c>
      <c r="S56" s="2"/>
      <c r="T56" s="2">
        <f>SUM(OSRRefT22_5x_0)</f>
        <v>392438</v>
      </c>
      <c r="U56" s="2"/>
      <c r="V56" s="6">
        <f t="shared" si="9"/>
        <v>0.17300989552519114</v>
      </c>
      <c r="W56" s="2"/>
      <c r="X56" s="2">
        <f t="shared" si="10"/>
        <v>3871.2799999999697</v>
      </c>
      <c r="Y56" s="2"/>
      <c r="Z56" s="6">
        <f t="shared" si="11"/>
        <v>9.8646920023034712E-3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7">
        <v>28619.91</v>
      </c>
      <c r="E57" s="3"/>
      <c r="F57" s="8">
        <f t="shared" si="4"/>
        <v>7.0882604885966691E-2</v>
      </c>
      <c r="G57" s="3"/>
      <c r="H57" s="7"/>
      <c r="I57" s="3"/>
      <c r="J57" s="8">
        <f t="shared" si="5"/>
        <v>0</v>
      </c>
      <c r="K57" s="3"/>
      <c r="L57" s="7">
        <f t="shared" si="6"/>
        <v>28619.91</v>
      </c>
      <c r="M57" s="3"/>
      <c r="N57" s="8">
        <f t="shared" si="7"/>
        <v>0</v>
      </c>
      <c r="O57" s="12"/>
      <c r="P57" s="7">
        <v>286287.24</v>
      </c>
      <c r="Q57" s="3"/>
      <c r="R57" s="8">
        <f t="shared" si="8"/>
        <v>0.15886514158877793</v>
      </c>
      <c r="S57" s="3"/>
      <c r="T57" s="7"/>
      <c r="U57" s="3"/>
      <c r="V57" s="8">
        <f t="shared" si="9"/>
        <v>0</v>
      </c>
      <c r="W57" s="3"/>
      <c r="X57" s="7">
        <f t="shared" si="10"/>
        <v>286287.24</v>
      </c>
      <c r="Y57" s="3"/>
      <c r="Z57" s="8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7">
        <v>13782.56</v>
      </c>
      <c r="E58" s="3"/>
      <c r="F58" s="8">
        <f t="shared" si="4"/>
        <v>3.4135109257755494E-2</v>
      </c>
      <c r="G58" s="3"/>
      <c r="H58" s="7">
        <v>38532</v>
      </c>
      <c r="I58" s="3"/>
      <c r="J58" s="8">
        <f t="shared" si="5"/>
        <v>8.1925630781856953E-2</v>
      </c>
      <c r="K58" s="3"/>
      <c r="L58" s="7">
        <f t="shared" si="6"/>
        <v>-24749.440000000002</v>
      </c>
      <c r="M58" s="3"/>
      <c r="N58" s="8">
        <f t="shared" si="7"/>
        <v>-0.64230873040589642</v>
      </c>
      <c r="O58" s="12"/>
      <c r="P58" s="7">
        <v>110022.04</v>
      </c>
      <c r="Q58" s="3"/>
      <c r="R58" s="8">
        <f t="shared" si="8"/>
        <v>6.1052902541119849E-2</v>
      </c>
      <c r="S58" s="3"/>
      <c r="T58" s="7">
        <v>392438</v>
      </c>
      <c r="U58" s="3"/>
      <c r="V58" s="8">
        <f t="shared" si="9"/>
        <v>0.17300989552519114</v>
      </c>
      <c r="W58" s="3"/>
      <c r="X58" s="7">
        <f t="shared" si="10"/>
        <v>-282415.96000000002</v>
      </c>
      <c r="Y58" s="3"/>
      <c r="Z58" s="8">
        <f t="shared" si="11"/>
        <v>-0.71964478465388171</v>
      </c>
    </row>
    <row r="59" spans="1:26" s="69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61.45</v>
      </c>
      <c r="E59" s="2"/>
      <c r="F59" s="6">
        <f t="shared" ref="F59:F90" si="12">IF(D$12=0,0,D59/D$12)</f>
        <v>1.5219251459011064E-4</v>
      </c>
      <c r="G59" s="2"/>
      <c r="H59" s="2">
        <f>SUM(OSRRefH22_6x_0)</f>
        <v>20</v>
      </c>
      <c r="I59" s="2"/>
      <c r="J59" s="6">
        <f t="shared" ref="J59:J90" si="13">IF(H$12=0,0,H59/H$12)</f>
        <v>4.2523425091797442E-5</v>
      </c>
      <c r="K59" s="2"/>
      <c r="L59" s="2">
        <f t="shared" ref="L59:L90" si="14">+D59-H59</f>
        <v>41.45</v>
      </c>
      <c r="M59" s="2"/>
      <c r="N59" s="6">
        <f t="shared" ref="N59:N90" si="15">IF(H59=0,0,L59/H59)</f>
        <v>2.0725000000000002</v>
      </c>
      <c r="O59" s="14"/>
      <c r="P59" s="2">
        <f>SUM(OSRRefP22_6x_0)</f>
        <v>376.32</v>
      </c>
      <c r="Q59" s="2"/>
      <c r="R59" s="6">
        <f t="shared" ref="R59:R90" si="16">IF(P$12=0,0,P59/P$12)</f>
        <v>2.0882568878266775E-4</v>
      </c>
      <c r="S59" s="2"/>
      <c r="T59" s="2">
        <f>SUM(OSRRefT22_6x_0)</f>
        <v>340</v>
      </c>
      <c r="U59" s="2"/>
      <c r="V59" s="6">
        <f t="shared" ref="V59:V90" si="17">IF(T$12=0,0,T59/T$12)</f>
        <v>1.4989212175825221E-4</v>
      </c>
      <c r="W59" s="2"/>
      <c r="X59" s="2">
        <f t="shared" ref="X59:X90" si="18">+P59-T59</f>
        <v>36.319999999999993</v>
      </c>
      <c r="Y59" s="2"/>
      <c r="Z59" s="6">
        <f t="shared" ref="Z59:Z90" si="19">IF(T59=0,0,X59/T59)</f>
        <v>0.10682352941176469</v>
      </c>
    </row>
    <row r="60" spans="1:26" s="70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7">
        <v>61.45</v>
      </c>
      <c r="E60" s="3"/>
      <c r="F60" s="8">
        <f t="shared" si="12"/>
        <v>1.5219251459011064E-4</v>
      </c>
      <c r="G60" s="3"/>
      <c r="H60" s="7">
        <v>20</v>
      </c>
      <c r="I60" s="3"/>
      <c r="J60" s="8">
        <f t="shared" si="13"/>
        <v>4.2523425091797442E-5</v>
      </c>
      <c r="K60" s="3"/>
      <c r="L60" s="7">
        <f t="shared" si="14"/>
        <v>41.45</v>
      </c>
      <c r="M60" s="3"/>
      <c r="N60" s="8">
        <f t="shared" si="15"/>
        <v>2.0725000000000002</v>
      </c>
      <c r="O60" s="12"/>
      <c r="P60" s="7">
        <v>376.32</v>
      </c>
      <c r="Q60" s="3"/>
      <c r="R60" s="8">
        <f t="shared" si="16"/>
        <v>2.0882568878266775E-4</v>
      </c>
      <c r="S60" s="3"/>
      <c r="T60" s="7">
        <v>340</v>
      </c>
      <c r="U60" s="3"/>
      <c r="V60" s="8">
        <f t="shared" si="17"/>
        <v>1.4989212175825221E-4</v>
      </c>
      <c r="W60" s="3"/>
      <c r="X60" s="7">
        <f t="shared" si="18"/>
        <v>36.319999999999993</v>
      </c>
      <c r="Y60" s="3"/>
      <c r="Z60" s="8">
        <f t="shared" si="19"/>
        <v>0.10682352941176469</v>
      </c>
    </row>
    <row r="61" spans="1:26" s="69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1997.37</v>
      </c>
      <c r="E61" s="2"/>
      <c r="F61" s="6">
        <f t="shared" si="12"/>
        <v>4.946863512886074E-3</v>
      </c>
      <c r="G61" s="2"/>
      <c r="H61" s="2">
        <f>SUM(OSRRefH22_7x_0)</f>
        <v>951</v>
      </c>
      <c r="I61" s="2"/>
      <c r="J61" s="6">
        <f t="shared" si="13"/>
        <v>2.0219888631149686E-3</v>
      </c>
      <c r="K61" s="2"/>
      <c r="L61" s="2">
        <f t="shared" si="14"/>
        <v>1046.3699999999999</v>
      </c>
      <c r="M61" s="2"/>
      <c r="N61" s="6">
        <f t="shared" si="15"/>
        <v>1.1002839116719241</v>
      </c>
      <c r="O61" s="14"/>
      <c r="P61" s="2">
        <f>SUM(OSRRefP22_7x_0)</f>
        <v>10050.709999999999</v>
      </c>
      <c r="Q61" s="2"/>
      <c r="R61" s="6">
        <f t="shared" si="16"/>
        <v>5.5772917689860925E-3</v>
      </c>
      <c r="S61" s="2"/>
      <c r="T61" s="2">
        <f>SUM(OSRRefT22_7x_0)</f>
        <v>9510</v>
      </c>
      <c r="U61" s="2"/>
      <c r="V61" s="6">
        <f t="shared" si="17"/>
        <v>4.1925708174146434E-3</v>
      </c>
      <c r="W61" s="2"/>
      <c r="X61" s="2">
        <f t="shared" si="18"/>
        <v>540.70999999999913</v>
      </c>
      <c r="Y61" s="2"/>
      <c r="Z61" s="6">
        <f t="shared" si="19"/>
        <v>5.6856992639326934E-2</v>
      </c>
    </row>
    <row r="62" spans="1:26" s="70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7">
        <v>1997.37</v>
      </c>
      <c r="E62" s="3"/>
      <c r="F62" s="8">
        <f t="shared" si="12"/>
        <v>4.946863512886074E-3</v>
      </c>
      <c r="G62" s="3"/>
      <c r="H62" s="7">
        <v>951</v>
      </c>
      <c r="I62" s="3"/>
      <c r="J62" s="8">
        <f t="shared" si="13"/>
        <v>2.0219888631149686E-3</v>
      </c>
      <c r="K62" s="3"/>
      <c r="L62" s="7">
        <f t="shared" si="14"/>
        <v>1046.3699999999999</v>
      </c>
      <c r="M62" s="3"/>
      <c r="N62" s="8">
        <f t="shared" si="15"/>
        <v>1.1002839116719241</v>
      </c>
      <c r="O62" s="12"/>
      <c r="P62" s="7">
        <v>10050.709999999999</v>
      </c>
      <c r="Q62" s="3"/>
      <c r="R62" s="8">
        <f t="shared" si="16"/>
        <v>5.5772917689860925E-3</v>
      </c>
      <c r="S62" s="3"/>
      <c r="T62" s="7">
        <v>9510</v>
      </c>
      <c r="U62" s="3"/>
      <c r="V62" s="8">
        <f t="shared" si="17"/>
        <v>4.1925708174146434E-3</v>
      </c>
      <c r="W62" s="3"/>
      <c r="X62" s="7">
        <f t="shared" si="18"/>
        <v>540.70999999999913</v>
      </c>
      <c r="Y62" s="3"/>
      <c r="Z62" s="8">
        <f t="shared" si="19"/>
        <v>5.6856992639326934E-2</v>
      </c>
    </row>
    <row r="63" spans="1:26" s="69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-316.45</v>
      </c>
      <c r="E63" s="2"/>
      <c r="F63" s="6">
        <f t="shared" si="12"/>
        <v>-7.8374810808853554E-4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-316.45</v>
      </c>
      <c r="M63" s="2"/>
      <c r="N63" s="6">
        <f t="shared" si="15"/>
        <v>0</v>
      </c>
      <c r="O63" s="14"/>
      <c r="P63" s="2">
        <f>SUM(OSRRefP22_8x_0)</f>
        <v>23401.55</v>
      </c>
      <c r="Q63" s="2"/>
      <c r="R63" s="6">
        <f t="shared" si="16"/>
        <v>1.2985875843250528E-2</v>
      </c>
      <c r="S63" s="2"/>
      <c r="T63" s="2">
        <f>SUM(OSRRefT22_8x_0)</f>
        <v>6900</v>
      </c>
      <c r="U63" s="2"/>
      <c r="V63" s="6">
        <f t="shared" si="17"/>
        <v>3.0419283533292363E-3</v>
      </c>
      <c r="W63" s="2"/>
      <c r="X63" s="2">
        <f t="shared" si="18"/>
        <v>16501.55</v>
      </c>
      <c r="Y63" s="2"/>
      <c r="Z63" s="6">
        <f t="shared" si="19"/>
        <v>2.3915289855072461</v>
      </c>
    </row>
    <row r="64" spans="1:26" s="70" customFormat="1" ht="15" hidden="1" customHeight="1" outlineLevel="2" x14ac:dyDescent="0.3">
      <c r="A64" s="26"/>
      <c r="B64" s="12" t="str">
        <f>CONCATENATE("          ","6269"," - ","ENTERTAINMENT")</f>
        <v xml:space="preserve">          6269 - ENTERTAINMENT</v>
      </c>
      <c r="C64" s="12"/>
      <c r="D64" s="7"/>
      <c r="E64" s="3"/>
      <c r="F64" s="8">
        <f t="shared" si="12"/>
        <v>0</v>
      </c>
      <c r="G64" s="3"/>
      <c r="H64" s="7"/>
      <c r="I64" s="3"/>
      <c r="J64" s="8">
        <f t="shared" si="13"/>
        <v>0</v>
      </c>
      <c r="K64" s="3"/>
      <c r="L64" s="7">
        <f t="shared" si="14"/>
        <v>0</v>
      </c>
      <c r="M64" s="3"/>
      <c r="N64" s="8">
        <f t="shared" si="15"/>
        <v>0</v>
      </c>
      <c r="O64" s="12"/>
      <c r="P64" s="7"/>
      <c r="Q64" s="3"/>
      <c r="R64" s="8">
        <f t="shared" si="16"/>
        <v>0</v>
      </c>
      <c r="S64" s="3"/>
      <c r="T64" s="7">
        <v>500</v>
      </c>
      <c r="U64" s="3"/>
      <c r="V64" s="8">
        <f t="shared" si="17"/>
        <v>2.2042959082095915E-4</v>
      </c>
      <c r="W64" s="3"/>
      <c r="X64" s="7">
        <f t="shared" si="18"/>
        <v>-500</v>
      </c>
      <c r="Y64" s="3"/>
      <c r="Z64" s="8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>
        <v>-316.45</v>
      </c>
      <c r="E65" s="3"/>
      <c r="F65" s="8">
        <f t="shared" si="12"/>
        <v>-7.8374810808853554E-4</v>
      </c>
      <c r="G65" s="3"/>
      <c r="H65" s="7"/>
      <c r="I65" s="3"/>
      <c r="J65" s="8">
        <f t="shared" si="13"/>
        <v>0</v>
      </c>
      <c r="K65" s="3"/>
      <c r="L65" s="7">
        <f t="shared" si="14"/>
        <v>-316.45</v>
      </c>
      <c r="M65" s="3"/>
      <c r="N65" s="8">
        <f t="shared" si="15"/>
        <v>0</v>
      </c>
      <c r="O65" s="12"/>
      <c r="P65" s="7">
        <v>23401.55</v>
      </c>
      <c r="Q65" s="3"/>
      <c r="R65" s="8">
        <f t="shared" si="16"/>
        <v>1.2985875843250528E-2</v>
      </c>
      <c r="S65" s="3"/>
      <c r="T65" s="7">
        <v>6400</v>
      </c>
      <c r="U65" s="3"/>
      <c r="V65" s="8">
        <f t="shared" si="17"/>
        <v>2.821498762508277E-3</v>
      </c>
      <c r="W65" s="3"/>
      <c r="X65" s="7">
        <f t="shared" si="18"/>
        <v>17001.55</v>
      </c>
      <c r="Y65" s="3"/>
      <c r="Z65" s="8">
        <f t="shared" si="19"/>
        <v>2.6564921875</v>
      </c>
    </row>
    <row r="66" spans="1:26" s="69" customFormat="1" ht="15" customHeight="1" outlineLevel="1" collapsed="1" x14ac:dyDescent="0.3">
      <c r="A66" s="25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SUM(OSRRefD22_9x_0)</f>
        <v>6087.22</v>
      </c>
      <c r="E66" s="2"/>
      <c r="F66" s="6">
        <f t="shared" si="12"/>
        <v>1.5076148391590128E-2</v>
      </c>
      <c r="G66" s="2"/>
      <c r="H66" s="2">
        <f>SUM(OSRRefH22_9x_0)</f>
        <v>6000</v>
      </c>
      <c r="I66" s="2"/>
      <c r="J66" s="6">
        <f t="shared" si="13"/>
        <v>1.2757027527539233E-2</v>
      </c>
      <c r="K66" s="2"/>
      <c r="L66" s="2">
        <f t="shared" si="14"/>
        <v>87.220000000000255</v>
      </c>
      <c r="M66" s="2"/>
      <c r="N66" s="6">
        <f t="shared" si="15"/>
        <v>1.453666666666671E-2</v>
      </c>
      <c r="O66" s="14"/>
      <c r="P66" s="2">
        <f>SUM(OSRRefP22_9x_0)</f>
        <v>67755.199999999997</v>
      </c>
      <c r="Q66" s="2"/>
      <c r="R66" s="6">
        <f t="shared" si="16"/>
        <v>3.7598390488433803E-2</v>
      </c>
      <c r="S66" s="2"/>
      <c r="T66" s="2">
        <f>SUM(OSRRefT22_9x_0)</f>
        <v>60000</v>
      </c>
      <c r="U66" s="2"/>
      <c r="V66" s="6">
        <f t="shared" si="17"/>
        <v>2.6451550898515096E-2</v>
      </c>
      <c r="W66" s="2"/>
      <c r="X66" s="2">
        <f t="shared" si="18"/>
        <v>7755.1999999999971</v>
      </c>
      <c r="Y66" s="2"/>
      <c r="Z66" s="6">
        <f t="shared" si="19"/>
        <v>0.12925333333333328</v>
      </c>
    </row>
    <row r="67" spans="1:26" s="70" customFormat="1" ht="15" hidden="1" customHeight="1" outlineLevel="2" x14ac:dyDescent="0.3">
      <c r="A67" s="26"/>
      <c r="B67" s="12" t="str">
        <f>CONCATENATE("          ","6314"," - ","LIABILITY INSURANCE")</f>
        <v xml:space="preserve">          6314 - LIABILITY INSURANCE</v>
      </c>
      <c r="C67" s="12"/>
      <c r="D67" s="7">
        <v>6087.22</v>
      </c>
      <c r="E67" s="3"/>
      <c r="F67" s="8">
        <f t="shared" si="12"/>
        <v>1.5076148391590128E-2</v>
      </c>
      <c r="G67" s="3"/>
      <c r="H67" s="7">
        <v>6000</v>
      </c>
      <c r="I67" s="3"/>
      <c r="J67" s="8">
        <f t="shared" si="13"/>
        <v>1.2757027527539233E-2</v>
      </c>
      <c r="K67" s="3"/>
      <c r="L67" s="7">
        <f t="shared" si="14"/>
        <v>87.220000000000255</v>
      </c>
      <c r="M67" s="3"/>
      <c r="N67" s="8">
        <f t="shared" si="15"/>
        <v>1.453666666666671E-2</v>
      </c>
      <c r="O67" s="12"/>
      <c r="P67" s="7">
        <v>67755.199999999997</v>
      </c>
      <c r="Q67" s="3"/>
      <c r="R67" s="8">
        <f t="shared" si="16"/>
        <v>3.7598390488433803E-2</v>
      </c>
      <c r="S67" s="3"/>
      <c r="T67" s="7">
        <v>60000</v>
      </c>
      <c r="U67" s="3"/>
      <c r="V67" s="8">
        <f t="shared" si="17"/>
        <v>2.6451550898515096E-2</v>
      </c>
      <c r="W67" s="3"/>
      <c r="X67" s="7">
        <f t="shared" si="18"/>
        <v>7755.1999999999971</v>
      </c>
      <c r="Y67" s="3"/>
      <c r="Z67" s="8">
        <f t="shared" si="19"/>
        <v>0.12925333333333328</v>
      </c>
    </row>
    <row r="68" spans="1:26" s="69" customFormat="1" ht="15" customHeight="1" outlineLevel="1" collapsed="1" x14ac:dyDescent="0.3">
      <c r="A68" s="25"/>
      <c r="B68" s="14" t="str">
        <f>CONCATENATE("     ","Interest                                          ")</f>
        <v xml:space="preserve">     Interest                                          </v>
      </c>
      <c r="C68" s="14"/>
      <c r="D68" s="2">
        <f>SUM(OSRRefD22_10x_0)</f>
        <v>8660</v>
      </c>
      <c r="E68" s="2"/>
      <c r="F68" s="6">
        <f t="shared" si="12"/>
        <v>2.1448123292926901E-2</v>
      </c>
      <c r="G68" s="2"/>
      <c r="H68" s="2">
        <f>SUM(OSRRefH22_10x_0)</f>
        <v>11158</v>
      </c>
      <c r="I68" s="2"/>
      <c r="J68" s="6">
        <f t="shared" si="13"/>
        <v>2.3723818858713795E-2</v>
      </c>
      <c r="K68" s="2"/>
      <c r="L68" s="2">
        <f t="shared" si="14"/>
        <v>-2498</v>
      </c>
      <c r="M68" s="2"/>
      <c r="N68" s="6">
        <f t="shared" si="15"/>
        <v>-0.22387524645993906</v>
      </c>
      <c r="O68" s="14"/>
      <c r="P68" s="2">
        <f>SUM(OSRRefP22_10x_0)</f>
        <v>108292</v>
      </c>
      <c r="Q68" s="2"/>
      <c r="R68" s="6">
        <f t="shared" si="16"/>
        <v>6.0092877045207951E-2</v>
      </c>
      <c r="S68" s="2"/>
      <c r="T68" s="2">
        <f>SUM(OSRRefT22_10x_0)</f>
        <v>111580</v>
      </c>
      <c r="U68" s="2"/>
      <c r="V68" s="6">
        <f t="shared" si="17"/>
        <v>4.9191067487605246E-2</v>
      </c>
      <c r="W68" s="2"/>
      <c r="X68" s="2">
        <f t="shared" si="18"/>
        <v>-3288</v>
      </c>
      <c r="Y68" s="2"/>
      <c r="Z68" s="6">
        <f t="shared" si="19"/>
        <v>-2.9467646531636495E-2</v>
      </c>
    </row>
    <row r="69" spans="1:26" s="70" customFormat="1" ht="15" hidden="1" customHeight="1" outlineLevel="2" x14ac:dyDescent="0.3">
      <c r="A69" s="26"/>
      <c r="B69" s="12" t="str">
        <f>CONCATENATE("          ","6401"," - ","INTEREST EXPENSE")</f>
        <v xml:space="preserve">          6401 - INTEREST EXPENSE</v>
      </c>
      <c r="C69" s="12"/>
      <c r="D69" s="7">
        <v>8660</v>
      </c>
      <c r="E69" s="3"/>
      <c r="F69" s="8">
        <f t="shared" si="12"/>
        <v>2.1448123292926901E-2</v>
      </c>
      <c r="G69" s="3"/>
      <c r="H69" s="7">
        <v>11158</v>
      </c>
      <c r="I69" s="3"/>
      <c r="J69" s="8">
        <f t="shared" si="13"/>
        <v>2.3723818858713795E-2</v>
      </c>
      <c r="K69" s="3"/>
      <c r="L69" s="7">
        <f t="shared" si="14"/>
        <v>-2498</v>
      </c>
      <c r="M69" s="3"/>
      <c r="N69" s="8">
        <f t="shared" si="15"/>
        <v>-0.22387524645993906</v>
      </c>
      <c r="O69" s="12"/>
      <c r="P69" s="7">
        <v>108292</v>
      </c>
      <c r="Q69" s="3"/>
      <c r="R69" s="8">
        <f t="shared" si="16"/>
        <v>6.0092877045207951E-2</v>
      </c>
      <c r="S69" s="3"/>
      <c r="T69" s="7">
        <v>111580</v>
      </c>
      <c r="U69" s="3"/>
      <c r="V69" s="8">
        <f t="shared" si="17"/>
        <v>4.9191067487605246E-2</v>
      </c>
      <c r="W69" s="3"/>
      <c r="X69" s="7">
        <f t="shared" si="18"/>
        <v>-3288</v>
      </c>
      <c r="Y69" s="3"/>
      <c r="Z69" s="8">
        <f t="shared" si="19"/>
        <v>-2.9467646531636495E-2</v>
      </c>
    </row>
    <row r="70" spans="1:26" s="69" customFormat="1" ht="15" customHeight="1" outlineLevel="1" collapsed="1" x14ac:dyDescent="0.3">
      <c r="A70" s="25"/>
      <c r="B70" s="14" t="str">
        <f>CONCATENATE("     ","Rent                                              ")</f>
        <v xml:space="preserve">     Rent                                              </v>
      </c>
      <c r="C70" s="14"/>
      <c r="D70" s="2">
        <f>SUM(OSRRefD22_11x_0)</f>
        <v>1850</v>
      </c>
      <c r="E70" s="2"/>
      <c r="F70" s="6">
        <f t="shared" si="12"/>
        <v>4.5818739136160242E-3</v>
      </c>
      <c r="G70" s="2"/>
      <c r="H70" s="2">
        <f>SUM(OSRRefH22_11x_0)</f>
        <v>1850</v>
      </c>
      <c r="I70" s="2"/>
      <c r="J70" s="6">
        <f t="shared" si="13"/>
        <v>3.9334168209912632E-3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SUM(OSRRefP22_11x_0)</f>
        <v>18500</v>
      </c>
      <c r="Q70" s="2"/>
      <c r="R70" s="6">
        <f t="shared" si="16"/>
        <v>1.0265931235329914E-2</v>
      </c>
      <c r="S70" s="2"/>
      <c r="T70" s="2">
        <f>SUM(OSRRefT22_11x_0)</f>
        <v>18500</v>
      </c>
      <c r="U70" s="2"/>
      <c r="V70" s="6">
        <f t="shared" si="17"/>
        <v>8.1558948603754882E-3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","6273"," - ","RENT")</f>
        <v xml:space="preserve">          6273 - RENT</v>
      </c>
      <c r="C71" s="12"/>
      <c r="D71" s="7">
        <v>1850</v>
      </c>
      <c r="E71" s="3"/>
      <c r="F71" s="8">
        <f t="shared" si="12"/>
        <v>4.5818739136160242E-3</v>
      </c>
      <c r="G71" s="3"/>
      <c r="H71" s="7">
        <v>1850</v>
      </c>
      <c r="I71" s="3"/>
      <c r="J71" s="8">
        <f t="shared" si="13"/>
        <v>3.9334168209912632E-3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18500</v>
      </c>
      <c r="Q71" s="3"/>
      <c r="R71" s="8">
        <f t="shared" si="16"/>
        <v>1.0265931235329914E-2</v>
      </c>
      <c r="S71" s="3"/>
      <c r="T71" s="7">
        <v>18500</v>
      </c>
      <c r="U71" s="3"/>
      <c r="V71" s="8">
        <f t="shared" si="17"/>
        <v>8.1558948603754882E-3</v>
      </c>
      <c r="W71" s="3"/>
      <c r="X71" s="7">
        <f t="shared" si="18"/>
        <v>0</v>
      </c>
      <c r="Y71" s="3"/>
      <c r="Z71" s="8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","Repair and Maintenance                            ")</f>
        <v xml:space="preserve">     Repair and Maintenance                            </v>
      </c>
      <c r="C72" s="14"/>
      <c r="D72" s="2">
        <f>SUM(OSRRefD22_12x_0)</f>
        <v>17886.07</v>
      </c>
      <c r="E72" s="2"/>
      <c r="F72" s="6">
        <f t="shared" si="12"/>
        <v>4.4298225702762248E-2</v>
      </c>
      <c r="G72" s="2"/>
      <c r="H72" s="2">
        <f>SUM(OSRRefH22_12x_0)</f>
        <v>5544</v>
      </c>
      <c r="I72" s="2"/>
      <c r="J72" s="6">
        <f t="shared" si="13"/>
        <v>1.1787493435446252E-2</v>
      </c>
      <c r="K72" s="2"/>
      <c r="L72" s="2">
        <f t="shared" si="14"/>
        <v>12342.07</v>
      </c>
      <c r="M72" s="2"/>
      <c r="N72" s="6">
        <f t="shared" si="15"/>
        <v>2.2262031024531024</v>
      </c>
      <c r="O72" s="14"/>
      <c r="P72" s="2">
        <f>SUM(OSRRefP22_12x_0)</f>
        <v>90412.23</v>
      </c>
      <c r="Q72" s="2"/>
      <c r="R72" s="6">
        <f t="shared" si="16"/>
        <v>5.0171120865558499E-2</v>
      </c>
      <c r="S72" s="2"/>
      <c r="T72" s="2">
        <f>SUM(OSRRefT22_12x_0)</f>
        <v>56165</v>
      </c>
      <c r="U72" s="2"/>
      <c r="V72" s="6">
        <f t="shared" si="17"/>
        <v>2.476085593691834E-2</v>
      </c>
      <c r="W72" s="2"/>
      <c r="X72" s="2">
        <f t="shared" si="18"/>
        <v>34247.229999999996</v>
      </c>
      <c r="Y72" s="2"/>
      <c r="Z72" s="6">
        <f t="shared" si="19"/>
        <v>0.60976106115908479</v>
      </c>
    </row>
    <row r="73" spans="1:26" s="70" customFormat="1" ht="15" hidden="1" customHeight="1" outlineLevel="2" x14ac:dyDescent="0.3">
      <c r="A73" s="26"/>
      <c r="B73" s="12" t="str">
        <f>CONCATENATE("          ","6371"," - ","COMPUTER SOFTWARE MAINTENANCE")</f>
        <v xml:space="preserve">          6371 - COMPUTER SOFTWARE MAINTENANCE</v>
      </c>
      <c r="C73" s="12"/>
      <c r="D73" s="7">
        <v>8966.19</v>
      </c>
      <c r="E73" s="3"/>
      <c r="F73" s="8">
        <f t="shared" si="12"/>
        <v>2.2206460575959385E-2</v>
      </c>
      <c r="G73" s="3"/>
      <c r="H73" s="7"/>
      <c r="I73" s="3"/>
      <c r="J73" s="8">
        <f t="shared" si="13"/>
        <v>0</v>
      </c>
      <c r="K73" s="3"/>
      <c r="L73" s="7">
        <f t="shared" si="14"/>
        <v>8966.19</v>
      </c>
      <c r="M73" s="3"/>
      <c r="N73" s="8">
        <f t="shared" si="15"/>
        <v>0</v>
      </c>
      <c r="O73" s="12"/>
      <c r="P73" s="7">
        <v>16567.060000000001</v>
      </c>
      <c r="Q73" s="3"/>
      <c r="R73" s="8">
        <f t="shared" si="16"/>
        <v>9.1933134449505311E-3</v>
      </c>
      <c r="S73" s="3"/>
      <c r="T73" s="7">
        <v>2623</v>
      </c>
      <c r="U73" s="3"/>
      <c r="V73" s="8">
        <f t="shared" si="17"/>
        <v>1.1563736334467517E-3</v>
      </c>
      <c r="W73" s="3"/>
      <c r="X73" s="7">
        <f t="shared" si="18"/>
        <v>13944.060000000001</v>
      </c>
      <c r="Y73" s="3"/>
      <c r="Z73" s="8">
        <f t="shared" si="19"/>
        <v>5.3160731986275263</v>
      </c>
    </row>
    <row r="74" spans="1:26" s="70" customFormat="1" ht="15" hidden="1" customHeight="1" outlineLevel="2" x14ac:dyDescent="0.3">
      <c r="A74" s="26"/>
      <c r="B74" s="12" t="str">
        <f>CONCATENATE("          ","6372"," - ","COMPUTER HARDWARE MAINTENANCE")</f>
        <v xml:space="preserve">          6372 - COMPUTER HARDWARE MAINTENANCE</v>
      </c>
      <c r="C74" s="12"/>
      <c r="D74" s="7"/>
      <c r="E74" s="3"/>
      <c r="F74" s="8">
        <f t="shared" si="12"/>
        <v>0</v>
      </c>
      <c r="G74" s="3"/>
      <c r="H74" s="7"/>
      <c r="I74" s="3"/>
      <c r="J74" s="8">
        <f t="shared" si="13"/>
        <v>0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/>
      <c r="Q74" s="3"/>
      <c r="R74" s="8">
        <f t="shared" si="16"/>
        <v>0</v>
      </c>
      <c r="S74" s="3"/>
      <c r="T74" s="7">
        <v>8000</v>
      </c>
      <c r="U74" s="3"/>
      <c r="V74" s="8">
        <f t="shared" si="17"/>
        <v>3.5268734531353463E-3</v>
      </c>
      <c r="W74" s="3"/>
      <c r="X74" s="7">
        <f t="shared" si="18"/>
        <v>-8000</v>
      </c>
      <c r="Y74" s="3"/>
      <c r="Z74" s="8">
        <f t="shared" si="19"/>
        <v>-1</v>
      </c>
    </row>
    <row r="75" spans="1:26" s="70" customFormat="1" ht="15" hidden="1" customHeight="1" outlineLevel="2" x14ac:dyDescent="0.3">
      <c r="A75" s="26"/>
      <c r="B75" s="12" t="str">
        <f>CONCATENATE("          ","6373"," - ","MAINTENANCE CONTRACTS")</f>
        <v xml:space="preserve">          6373 - MAINTENANCE CONTRACTS</v>
      </c>
      <c r="C75" s="12"/>
      <c r="D75" s="7">
        <v>-4.3499999999999996</v>
      </c>
      <c r="E75" s="3"/>
      <c r="F75" s="8">
        <f t="shared" si="12"/>
        <v>-1.0773595418502543E-5</v>
      </c>
      <c r="G75" s="3"/>
      <c r="H75" s="7">
        <v>1180</v>
      </c>
      <c r="I75" s="3"/>
      <c r="J75" s="8">
        <f t="shared" si="13"/>
        <v>2.5088820804160493E-3</v>
      </c>
      <c r="K75" s="3"/>
      <c r="L75" s="7">
        <f t="shared" si="14"/>
        <v>-1184.3499999999999</v>
      </c>
      <c r="M75" s="3"/>
      <c r="N75" s="8">
        <f t="shared" si="15"/>
        <v>-1.003686440677966</v>
      </c>
      <c r="O75" s="12"/>
      <c r="P75" s="7">
        <v>17559</v>
      </c>
      <c r="Q75" s="3"/>
      <c r="R75" s="8">
        <f t="shared" si="16"/>
        <v>9.7437560303328622E-3</v>
      </c>
      <c r="S75" s="3"/>
      <c r="T75" s="7">
        <v>6919</v>
      </c>
      <c r="U75" s="3"/>
      <c r="V75" s="8">
        <f t="shared" si="17"/>
        <v>3.0503046777804327E-3</v>
      </c>
      <c r="W75" s="3"/>
      <c r="X75" s="7">
        <f t="shared" si="18"/>
        <v>10640</v>
      </c>
      <c r="Y75" s="3"/>
      <c r="Z75" s="8">
        <f t="shared" si="19"/>
        <v>1.5377944789709495</v>
      </c>
    </row>
    <row r="76" spans="1:26" s="70" customFormat="1" ht="15" hidden="1" customHeight="1" outlineLevel="2" x14ac:dyDescent="0.3">
      <c r="A76" s="26"/>
      <c r="B76" s="12" t="str">
        <f>CONCATENATE("          ","6375"," - ","OUTSIDE REPAIRS &amp; MAINTENANCE")</f>
        <v xml:space="preserve">          6375 - OUTSIDE REPAIRS &amp; MAINTENANCE</v>
      </c>
      <c r="C76" s="12"/>
      <c r="D76" s="7">
        <v>8924.23</v>
      </c>
      <c r="E76" s="3"/>
      <c r="F76" s="8">
        <f t="shared" si="12"/>
        <v>2.2102538722221367E-2</v>
      </c>
      <c r="G76" s="3"/>
      <c r="H76" s="7">
        <v>4364</v>
      </c>
      <c r="I76" s="3"/>
      <c r="J76" s="8">
        <f t="shared" si="13"/>
        <v>9.2786113550302023E-3</v>
      </c>
      <c r="K76" s="3"/>
      <c r="L76" s="7">
        <f t="shared" si="14"/>
        <v>4560.2299999999996</v>
      </c>
      <c r="M76" s="3"/>
      <c r="N76" s="8">
        <f t="shared" si="15"/>
        <v>1.0449656278643444</v>
      </c>
      <c r="O76" s="12"/>
      <c r="P76" s="7">
        <v>56286.17</v>
      </c>
      <c r="Q76" s="3"/>
      <c r="R76" s="8">
        <f t="shared" si="16"/>
        <v>3.123405139027511E-2</v>
      </c>
      <c r="S76" s="3"/>
      <c r="T76" s="7">
        <v>38623</v>
      </c>
      <c r="U76" s="3"/>
      <c r="V76" s="8">
        <f t="shared" si="17"/>
        <v>1.702730417255581E-2</v>
      </c>
      <c r="W76" s="3"/>
      <c r="X76" s="7">
        <f t="shared" si="18"/>
        <v>17663.169999999998</v>
      </c>
      <c r="Y76" s="3"/>
      <c r="Z76" s="8">
        <f t="shared" si="19"/>
        <v>0.45732257980995777</v>
      </c>
    </row>
    <row r="77" spans="1:26" s="69" customFormat="1" ht="15" customHeight="1" outlineLevel="1" collapsed="1" x14ac:dyDescent="0.3">
      <c r="A77" s="25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2">
        <f>SUM(OSRRefD22_13x_0)</f>
        <v>6212.86</v>
      </c>
      <c r="E77" s="2"/>
      <c r="F77" s="6">
        <f t="shared" si="12"/>
        <v>1.5387319547539703E-2</v>
      </c>
      <c r="G77" s="2"/>
      <c r="H77" s="2">
        <f>SUM(OSRRefH22_13x_0)</f>
        <v>2234</v>
      </c>
      <c r="I77" s="2"/>
      <c r="J77" s="6">
        <f t="shared" si="13"/>
        <v>4.7498665827537742E-3</v>
      </c>
      <c r="K77" s="2"/>
      <c r="L77" s="2">
        <f t="shared" si="14"/>
        <v>3978.8599999999997</v>
      </c>
      <c r="M77" s="2"/>
      <c r="N77" s="6">
        <f t="shared" si="15"/>
        <v>1.7810474485228289</v>
      </c>
      <c r="O77" s="14"/>
      <c r="P77" s="2">
        <f>SUM(OSRRefP22_13x_0)</f>
        <v>10430.57</v>
      </c>
      <c r="Q77" s="2"/>
      <c r="R77" s="6">
        <f t="shared" si="16"/>
        <v>5.7880818575835212E-3</v>
      </c>
      <c r="S77" s="2"/>
      <c r="T77" s="2">
        <f>SUM(OSRRefT22_13x_0)</f>
        <v>12595</v>
      </c>
      <c r="U77" s="2"/>
      <c r="V77" s="6">
        <f t="shared" si="17"/>
        <v>5.5526213927799611E-3</v>
      </c>
      <c r="W77" s="2"/>
      <c r="X77" s="2">
        <f t="shared" si="18"/>
        <v>-2164.4300000000003</v>
      </c>
      <c r="Y77" s="2"/>
      <c r="Z77" s="6">
        <f t="shared" si="19"/>
        <v>-0.17184835252084163</v>
      </c>
    </row>
    <row r="78" spans="1:26" s="70" customFormat="1" ht="15" hidden="1" customHeight="1" outlineLevel="2" x14ac:dyDescent="0.3">
      <c r="A78" s="26"/>
      <c r="B78" s="12" t="str">
        <f>CONCATENATE("          ","6254"," - ","ROYALTY &amp; COMMISSIONS")</f>
        <v xml:space="preserve">          6254 - ROYALTY &amp; COMMISSIONS</v>
      </c>
      <c r="C78" s="12"/>
      <c r="D78" s="7">
        <v>6212.86</v>
      </c>
      <c r="E78" s="3"/>
      <c r="F78" s="8">
        <f t="shared" si="12"/>
        <v>1.5387319547539703E-2</v>
      </c>
      <c r="G78" s="3"/>
      <c r="H78" s="7"/>
      <c r="I78" s="3"/>
      <c r="J78" s="8">
        <f t="shared" si="13"/>
        <v>0</v>
      </c>
      <c r="K78" s="3"/>
      <c r="L78" s="7">
        <f t="shared" si="14"/>
        <v>6212.86</v>
      </c>
      <c r="M78" s="3"/>
      <c r="N78" s="8">
        <f t="shared" si="15"/>
        <v>0</v>
      </c>
      <c r="O78" s="12"/>
      <c r="P78" s="7">
        <v>10430.57</v>
      </c>
      <c r="Q78" s="3"/>
      <c r="R78" s="8">
        <f t="shared" si="16"/>
        <v>5.7880818575835212E-3</v>
      </c>
      <c r="S78" s="3"/>
      <c r="T78" s="7"/>
      <c r="U78" s="3"/>
      <c r="V78" s="8">
        <f t="shared" si="17"/>
        <v>0</v>
      </c>
      <c r="W78" s="3"/>
      <c r="X78" s="7">
        <f t="shared" si="18"/>
        <v>10430.57</v>
      </c>
      <c r="Y78" s="3"/>
      <c r="Z78" s="8">
        <f t="shared" si="19"/>
        <v>0</v>
      </c>
    </row>
    <row r="79" spans="1:26" s="70" customFormat="1" ht="15" hidden="1" customHeight="1" outlineLevel="2" x14ac:dyDescent="0.3">
      <c r="A79" s="26"/>
      <c r="B79" s="12" t="str">
        <f>CONCATENATE("          ","6259"," - ","ROYALTY &amp; COMMISSIONS")</f>
        <v xml:space="preserve">          6259 - ROYALTY &amp; COMMISSIONS</v>
      </c>
      <c r="C79" s="12"/>
      <c r="D79" s="7"/>
      <c r="E79" s="3"/>
      <c r="F79" s="8">
        <f t="shared" si="12"/>
        <v>0</v>
      </c>
      <c r="G79" s="3"/>
      <c r="H79" s="7">
        <v>2234</v>
      </c>
      <c r="I79" s="3"/>
      <c r="J79" s="8">
        <f t="shared" si="13"/>
        <v>4.7498665827537742E-3</v>
      </c>
      <c r="K79" s="3"/>
      <c r="L79" s="7">
        <f t="shared" si="14"/>
        <v>-2234</v>
      </c>
      <c r="M79" s="3"/>
      <c r="N79" s="8">
        <f t="shared" si="15"/>
        <v>-1</v>
      </c>
      <c r="O79" s="12"/>
      <c r="P79" s="7"/>
      <c r="Q79" s="3"/>
      <c r="R79" s="8">
        <f t="shared" si="16"/>
        <v>0</v>
      </c>
      <c r="S79" s="3"/>
      <c r="T79" s="7">
        <v>12595</v>
      </c>
      <c r="U79" s="3"/>
      <c r="V79" s="8">
        <f t="shared" si="17"/>
        <v>5.5526213927799611E-3</v>
      </c>
      <c r="W79" s="3"/>
      <c r="X79" s="7">
        <f t="shared" si="18"/>
        <v>-12595</v>
      </c>
      <c r="Y79" s="3"/>
      <c r="Z79" s="8">
        <f t="shared" si="19"/>
        <v>-1</v>
      </c>
    </row>
    <row r="80" spans="1:26" s="69" customFormat="1" ht="15" customHeight="1" outlineLevel="1" collapsed="1" x14ac:dyDescent="0.3">
      <c r="A80" s="25"/>
      <c r="B80" s="14" t="str">
        <f>CONCATENATE("     ","Services                                          ")</f>
        <v xml:space="preserve">     Services                                          </v>
      </c>
      <c r="C80" s="14"/>
      <c r="D80" s="2">
        <f>SUM(OSRRefD22_14x_0)</f>
        <v>8252.16</v>
      </c>
      <c r="E80" s="2"/>
      <c r="F80" s="6">
        <f t="shared" si="12"/>
        <v>2.0438030613505735E-2</v>
      </c>
      <c r="G80" s="2"/>
      <c r="H80" s="2">
        <f>SUM(OSRRefH22_14x_0)</f>
        <v>12294</v>
      </c>
      <c r="I80" s="2"/>
      <c r="J80" s="6">
        <f t="shared" si="13"/>
        <v>2.6139149403927888E-2</v>
      </c>
      <c r="K80" s="2"/>
      <c r="L80" s="2">
        <f t="shared" si="14"/>
        <v>-4041.84</v>
      </c>
      <c r="M80" s="2"/>
      <c r="N80" s="6">
        <f t="shared" si="15"/>
        <v>-0.32876525134211809</v>
      </c>
      <c r="O80" s="14"/>
      <c r="P80" s="2">
        <f>SUM(OSRRefP22_14x_0)</f>
        <v>80560.73</v>
      </c>
      <c r="Q80" s="2"/>
      <c r="R80" s="6">
        <f t="shared" si="16"/>
        <v>4.4704373753944843E-2</v>
      </c>
      <c r="S80" s="2"/>
      <c r="T80" s="2">
        <f>SUM(OSRRefT22_14x_0)</f>
        <v>109787</v>
      </c>
      <c r="U80" s="2"/>
      <c r="V80" s="6">
        <f t="shared" si="17"/>
        <v>4.8400606974921281E-2</v>
      </c>
      <c r="W80" s="2"/>
      <c r="X80" s="2">
        <f t="shared" si="18"/>
        <v>-29226.270000000004</v>
      </c>
      <c r="Y80" s="2"/>
      <c r="Z80" s="6">
        <f t="shared" si="19"/>
        <v>-0.26620884075528073</v>
      </c>
    </row>
    <row r="81" spans="1:26" s="70" customFormat="1" ht="15" hidden="1" customHeight="1" outlineLevel="2" x14ac:dyDescent="0.3">
      <c r="A81" s="26"/>
      <c r="B81" s="12" t="str">
        <f>CONCATENATE("          ","6282"," - ","JANITORIAL/EXTERMINATOR EXPENS")</f>
        <v xml:space="preserve">          6282 - JANITORIAL/EXTERMINATOR EXPENS</v>
      </c>
      <c r="C81" s="12"/>
      <c r="D81" s="7">
        <v>2189.9499999999998</v>
      </c>
      <c r="E81" s="3"/>
      <c r="F81" s="8">
        <f t="shared" si="12"/>
        <v>5.4238242038504927E-3</v>
      </c>
      <c r="G81" s="3"/>
      <c r="H81" s="7">
        <v>1386</v>
      </c>
      <c r="I81" s="3"/>
      <c r="J81" s="8">
        <f t="shared" si="13"/>
        <v>2.9468733588615629E-3</v>
      </c>
      <c r="K81" s="3"/>
      <c r="L81" s="7">
        <f t="shared" si="14"/>
        <v>803.94999999999982</v>
      </c>
      <c r="M81" s="3"/>
      <c r="N81" s="8">
        <f t="shared" si="15"/>
        <v>0.58005050505050493</v>
      </c>
      <c r="O81" s="12"/>
      <c r="P81" s="7">
        <v>14741.96</v>
      </c>
      <c r="Q81" s="3"/>
      <c r="R81" s="8">
        <f t="shared" si="16"/>
        <v>8.1805377099450904E-3</v>
      </c>
      <c r="S81" s="3"/>
      <c r="T81" s="7">
        <v>13502</v>
      </c>
      <c r="U81" s="3"/>
      <c r="V81" s="8">
        <f t="shared" si="17"/>
        <v>5.9524806705291812E-3</v>
      </c>
      <c r="W81" s="3"/>
      <c r="X81" s="7">
        <f t="shared" si="18"/>
        <v>1239.9599999999991</v>
      </c>
      <c r="Y81" s="3"/>
      <c r="Z81" s="8">
        <f t="shared" si="19"/>
        <v>9.1835283661679687E-2</v>
      </c>
    </row>
    <row r="82" spans="1:26" s="70" customFormat="1" ht="15" hidden="1" customHeight="1" outlineLevel="2" x14ac:dyDescent="0.3">
      <c r="A82" s="26"/>
      <c r="B82" s="12" t="str">
        <f>CONCATENATE("          ","6283"," - ","PLANT SERVICE")</f>
        <v xml:space="preserve">          6283 - PLANT SERVICE</v>
      </c>
      <c r="C82" s="12"/>
      <c r="D82" s="7"/>
      <c r="E82" s="3"/>
      <c r="F82" s="8">
        <f t="shared" si="12"/>
        <v>0</v>
      </c>
      <c r="G82" s="3"/>
      <c r="H82" s="7">
        <v>100</v>
      </c>
      <c r="I82" s="3"/>
      <c r="J82" s="8">
        <f t="shared" si="13"/>
        <v>2.1261712545898721E-4</v>
      </c>
      <c r="K82" s="3"/>
      <c r="L82" s="7">
        <f t="shared" si="14"/>
        <v>-100</v>
      </c>
      <c r="M82" s="3"/>
      <c r="N82" s="8">
        <f t="shared" si="15"/>
        <v>-1</v>
      </c>
      <c r="O82" s="12"/>
      <c r="P82" s="7"/>
      <c r="Q82" s="3"/>
      <c r="R82" s="8">
        <f t="shared" si="16"/>
        <v>0</v>
      </c>
      <c r="S82" s="3"/>
      <c r="T82" s="7">
        <v>1000</v>
      </c>
      <c r="U82" s="3"/>
      <c r="V82" s="8">
        <f t="shared" si="17"/>
        <v>4.4085918164191829E-4</v>
      </c>
      <c r="W82" s="3"/>
      <c r="X82" s="7">
        <f t="shared" si="18"/>
        <v>-1000</v>
      </c>
      <c r="Y82" s="3"/>
      <c r="Z82" s="8">
        <f t="shared" si="19"/>
        <v>-1</v>
      </c>
    </row>
    <row r="83" spans="1:26" s="70" customFormat="1" ht="15" hidden="1" customHeight="1" outlineLevel="2" x14ac:dyDescent="0.3">
      <c r="A83" s="26"/>
      <c r="B83" s="12" t="str">
        <f>CONCATENATE("          ","6284"," - ","TRASH REMOVAL EXPENSE")</f>
        <v xml:space="preserve">          6284 - TRASH REMOVAL EXPENSE</v>
      </c>
      <c r="C83" s="12"/>
      <c r="D83" s="7"/>
      <c r="E83" s="3"/>
      <c r="F83" s="8">
        <f t="shared" si="12"/>
        <v>0</v>
      </c>
      <c r="G83" s="3"/>
      <c r="H83" s="7">
        <v>1000</v>
      </c>
      <c r="I83" s="3"/>
      <c r="J83" s="8">
        <f t="shared" si="13"/>
        <v>2.1261712545898722E-3</v>
      </c>
      <c r="K83" s="3"/>
      <c r="L83" s="7">
        <f t="shared" si="14"/>
        <v>-1000</v>
      </c>
      <c r="M83" s="3"/>
      <c r="N83" s="8">
        <f t="shared" si="15"/>
        <v>-1</v>
      </c>
      <c r="O83" s="12"/>
      <c r="P83" s="7"/>
      <c r="Q83" s="3"/>
      <c r="R83" s="8">
        <f t="shared" si="16"/>
        <v>0</v>
      </c>
      <c r="S83" s="3"/>
      <c r="T83" s="7">
        <v>10000</v>
      </c>
      <c r="U83" s="3"/>
      <c r="V83" s="8">
        <f t="shared" si="17"/>
        <v>4.408591816419183E-3</v>
      </c>
      <c r="W83" s="3"/>
      <c r="X83" s="7">
        <f t="shared" si="18"/>
        <v>-10000</v>
      </c>
      <c r="Y83" s="3"/>
      <c r="Z83" s="8">
        <f t="shared" si="19"/>
        <v>-1</v>
      </c>
    </row>
    <row r="84" spans="1:26" s="70" customFormat="1" ht="15" hidden="1" customHeight="1" outlineLevel="2" x14ac:dyDescent="0.3">
      <c r="A84" s="26"/>
      <c r="B84" s="12" t="str">
        <f>CONCATENATE("          ","6285"," - ","JANITORIAL SERVICES")</f>
        <v xml:space="preserve">          6285 - JANITORIAL SERVICES</v>
      </c>
      <c r="C84" s="12"/>
      <c r="D84" s="7">
        <v>4101.2</v>
      </c>
      <c r="E84" s="3"/>
      <c r="F84" s="8">
        <f t="shared" si="12"/>
        <v>1.0157395294336236E-2</v>
      </c>
      <c r="G84" s="3"/>
      <c r="H84" s="7">
        <v>9099</v>
      </c>
      <c r="I84" s="3"/>
      <c r="J84" s="8">
        <f t="shared" si="13"/>
        <v>1.9346032245513248E-2</v>
      </c>
      <c r="K84" s="3"/>
      <c r="L84" s="7">
        <f t="shared" si="14"/>
        <v>-4997.8</v>
      </c>
      <c r="M84" s="3"/>
      <c r="N84" s="8">
        <f t="shared" si="15"/>
        <v>-0.54926915045609415</v>
      </c>
      <c r="O84" s="12"/>
      <c r="P84" s="7">
        <v>59648.22</v>
      </c>
      <c r="Q84" s="3"/>
      <c r="R84" s="8">
        <f t="shared" si="16"/>
        <v>3.3099704044855703E-2</v>
      </c>
      <c r="S84" s="3"/>
      <c r="T84" s="7">
        <v>78807</v>
      </c>
      <c r="U84" s="3"/>
      <c r="V84" s="8">
        <f t="shared" si="17"/>
        <v>3.4742789527654652E-2</v>
      </c>
      <c r="W84" s="3"/>
      <c r="X84" s="7">
        <f t="shared" si="18"/>
        <v>-19158.78</v>
      </c>
      <c r="Y84" s="3"/>
      <c r="Z84" s="8">
        <f t="shared" si="19"/>
        <v>-0.2431101298108036</v>
      </c>
    </row>
    <row r="85" spans="1:26" s="70" customFormat="1" ht="15" hidden="1" customHeight="1" outlineLevel="2" x14ac:dyDescent="0.3">
      <c r="A85" s="26"/>
      <c r="B85" s="12" t="str">
        <f>CONCATENATE("          ","6286"," - ","LAUNDRY EXPENSE")</f>
        <v xml:space="preserve">          6286 - LAUNDRY EXPENSE</v>
      </c>
      <c r="C85" s="12"/>
      <c r="D85" s="7">
        <v>1961.01</v>
      </c>
      <c r="E85" s="3"/>
      <c r="F85" s="8">
        <f t="shared" si="12"/>
        <v>4.8568111153190052E-3</v>
      </c>
      <c r="G85" s="3"/>
      <c r="H85" s="7">
        <v>709</v>
      </c>
      <c r="I85" s="3"/>
      <c r="J85" s="8">
        <f t="shared" si="13"/>
        <v>1.5074554195042193E-3</v>
      </c>
      <c r="K85" s="3"/>
      <c r="L85" s="7">
        <f t="shared" si="14"/>
        <v>1252.01</v>
      </c>
      <c r="M85" s="3"/>
      <c r="N85" s="8">
        <f t="shared" si="15"/>
        <v>1.7658815232722145</v>
      </c>
      <c r="O85" s="12"/>
      <c r="P85" s="7">
        <v>6170.55</v>
      </c>
      <c r="Q85" s="3"/>
      <c r="R85" s="8">
        <f t="shared" si="16"/>
        <v>3.4241319991440543E-3</v>
      </c>
      <c r="S85" s="3"/>
      <c r="T85" s="7">
        <v>6478</v>
      </c>
      <c r="U85" s="3"/>
      <c r="V85" s="8">
        <f t="shared" si="17"/>
        <v>2.8558857786763468E-3</v>
      </c>
      <c r="W85" s="3"/>
      <c r="X85" s="7">
        <f t="shared" si="18"/>
        <v>-307.44999999999982</v>
      </c>
      <c r="Y85" s="3"/>
      <c r="Z85" s="8">
        <f t="shared" si="19"/>
        <v>-4.7460635998765023E-2</v>
      </c>
    </row>
    <row r="86" spans="1:26" s="69" customFormat="1" ht="15" customHeight="1" outlineLevel="1" collapsed="1" x14ac:dyDescent="0.3">
      <c r="A86" s="25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SUM(OSRRefD22_15x_0)</f>
        <v>560.5</v>
      </c>
      <c r="E86" s="2"/>
      <c r="F86" s="6">
        <f t="shared" si="12"/>
        <v>1.3881839613955576E-3</v>
      </c>
      <c r="G86" s="2"/>
      <c r="H86" s="2">
        <f>SUM(OSRRefH22_15x_0)</f>
        <v>610</v>
      </c>
      <c r="I86" s="2"/>
      <c r="J86" s="6">
        <f t="shared" si="13"/>
        <v>1.296964465299822E-3</v>
      </c>
      <c r="K86" s="2"/>
      <c r="L86" s="2">
        <f t="shared" si="14"/>
        <v>-49.5</v>
      </c>
      <c r="M86" s="2"/>
      <c r="N86" s="6">
        <f t="shared" si="15"/>
        <v>-8.1147540983606561E-2</v>
      </c>
      <c r="O86" s="14"/>
      <c r="P86" s="2">
        <f>SUM(OSRRefP22_15x_0)</f>
        <v>6407.4</v>
      </c>
      <c r="Q86" s="2"/>
      <c r="R86" s="6">
        <f t="shared" si="16"/>
        <v>3.5555636647163725E-3</v>
      </c>
      <c r="S86" s="2"/>
      <c r="T86" s="2">
        <f>SUM(OSRRefT22_15x_0)</f>
        <v>5870</v>
      </c>
      <c r="U86" s="2"/>
      <c r="V86" s="6">
        <f t="shared" si="17"/>
        <v>2.5878433962380604E-3</v>
      </c>
      <c r="W86" s="2"/>
      <c r="X86" s="2">
        <f t="shared" si="18"/>
        <v>537.39999999999964</v>
      </c>
      <c r="Y86" s="2"/>
      <c r="Z86" s="6">
        <f t="shared" si="19"/>
        <v>9.1550255536626851E-2</v>
      </c>
    </row>
    <row r="87" spans="1:26" s="70" customFormat="1" ht="15" hidden="1" customHeight="1" outlineLevel="2" x14ac:dyDescent="0.3">
      <c r="A87" s="26"/>
      <c r="B87" s="12" t="str">
        <f>CONCATENATE("          ","6275"," - ","SUBSCRIPTIONS")</f>
        <v xml:space="preserve">          6275 - SUBSCRIPTIONS</v>
      </c>
      <c r="C87" s="12"/>
      <c r="D87" s="7">
        <v>560.5</v>
      </c>
      <c r="E87" s="3"/>
      <c r="F87" s="8">
        <f t="shared" si="12"/>
        <v>1.3881839613955576E-3</v>
      </c>
      <c r="G87" s="3"/>
      <c r="H87" s="7">
        <v>610</v>
      </c>
      <c r="I87" s="3"/>
      <c r="J87" s="8">
        <f t="shared" si="13"/>
        <v>1.296964465299822E-3</v>
      </c>
      <c r="K87" s="3"/>
      <c r="L87" s="7">
        <f t="shared" si="14"/>
        <v>-49.5</v>
      </c>
      <c r="M87" s="3"/>
      <c r="N87" s="8">
        <f t="shared" si="15"/>
        <v>-8.1147540983606561E-2</v>
      </c>
      <c r="O87" s="12"/>
      <c r="P87" s="7">
        <v>6407.4</v>
      </c>
      <c r="Q87" s="3"/>
      <c r="R87" s="8">
        <f t="shared" si="16"/>
        <v>3.5555636647163725E-3</v>
      </c>
      <c r="S87" s="3"/>
      <c r="T87" s="7">
        <v>5870</v>
      </c>
      <c r="U87" s="3"/>
      <c r="V87" s="8">
        <f t="shared" si="17"/>
        <v>2.5878433962380604E-3</v>
      </c>
      <c r="W87" s="3"/>
      <c r="X87" s="7">
        <f t="shared" si="18"/>
        <v>537.39999999999964</v>
      </c>
      <c r="Y87" s="3"/>
      <c r="Z87" s="8">
        <f t="shared" si="19"/>
        <v>9.1550255536626851E-2</v>
      </c>
    </row>
    <row r="88" spans="1:26" s="69" customFormat="1" ht="15" customHeight="1" outlineLevel="1" collapsed="1" x14ac:dyDescent="0.3">
      <c r="A88" s="25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SUM(OSRRefD22_16x_0)</f>
        <v>3918.37</v>
      </c>
      <c r="E88" s="2"/>
      <c r="F88" s="6">
        <f t="shared" si="12"/>
        <v>9.7045823172408757E-3</v>
      </c>
      <c r="G88" s="2"/>
      <c r="H88" s="2">
        <f>SUM(OSRRefH22_16x_0)</f>
        <v>2775</v>
      </c>
      <c r="I88" s="2"/>
      <c r="J88" s="6">
        <f t="shared" si="13"/>
        <v>5.9001252314868956E-3</v>
      </c>
      <c r="K88" s="2"/>
      <c r="L88" s="2">
        <f t="shared" si="14"/>
        <v>1143.3699999999999</v>
      </c>
      <c r="M88" s="2"/>
      <c r="N88" s="6">
        <f t="shared" si="15"/>
        <v>0.41202522522522517</v>
      </c>
      <c r="O88" s="14"/>
      <c r="P88" s="2">
        <f>SUM(OSRRefP22_16x_0)</f>
        <v>39271.649999999994</v>
      </c>
      <c r="Q88" s="2"/>
      <c r="R88" s="6">
        <f t="shared" si="16"/>
        <v>2.1792435589078053E-2</v>
      </c>
      <c r="S88" s="2"/>
      <c r="T88" s="2">
        <f>SUM(OSRRefT22_16x_0)</f>
        <v>47298</v>
      </c>
      <c r="U88" s="2"/>
      <c r="V88" s="6">
        <f t="shared" si="17"/>
        <v>2.0851757573299452E-2</v>
      </c>
      <c r="W88" s="2"/>
      <c r="X88" s="2">
        <f t="shared" si="18"/>
        <v>-8026.3500000000058</v>
      </c>
      <c r="Y88" s="2"/>
      <c r="Z88" s="6">
        <f t="shared" si="19"/>
        <v>-0.16969745020931129</v>
      </c>
    </row>
    <row r="89" spans="1:26" s="70" customFormat="1" ht="15" hidden="1" customHeight="1" outlineLevel="2" x14ac:dyDescent="0.3">
      <c r="A89" s="26"/>
      <c r="B89" s="12" t="str">
        <f>CONCATENATE("          ","6234"," - ","EXPENDABLE SUPPLIES &amp; EQUIPMEN")</f>
        <v xml:space="preserve">          6234 - EXPENDABLE SUPPLIES &amp; EQUIPMEN</v>
      </c>
      <c r="C89" s="12"/>
      <c r="D89" s="7">
        <v>175.34</v>
      </c>
      <c r="E89" s="3"/>
      <c r="F89" s="8">
        <f t="shared" si="12"/>
        <v>4.342625794667209E-4</v>
      </c>
      <c r="G89" s="3"/>
      <c r="H89" s="7">
        <v>50</v>
      </c>
      <c r="I89" s="3"/>
      <c r="J89" s="8">
        <f t="shared" si="13"/>
        <v>1.063085627294936E-4</v>
      </c>
      <c r="K89" s="3"/>
      <c r="L89" s="7">
        <f t="shared" si="14"/>
        <v>125.34</v>
      </c>
      <c r="M89" s="3"/>
      <c r="N89" s="8">
        <f t="shared" si="15"/>
        <v>2.5068000000000001</v>
      </c>
      <c r="O89" s="12"/>
      <c r="P89" s="7">
        <v>1536.73</v>
      </c>
      <c r="Q89" s="3"/>
      <c r="R89" s="8">
        <f t="shared" si="16"/>
        <v>8.5275483823073184E-4</v>
      </c>
      <c r="S89" s="3"/>
      <c r="T89" s="7">
        <v>750</v>
      </c>
      <c r="U89" s="3"/>
      <c r="V89" s="8">
        <f t="shared" si="17"/>
        <v>3.3064438623143871E-4</v>
      </c>
      <c r="W89" s="3"/>
      <c r="X89" s="7">
        <f t="shared" si="18"/>
        <v>786.73</v>
      </c>
      <c r="Y89" s="3"/>
      <c r="Z89" s="8">
        <f t="shared" si="19"/>
        <v>1.0489733333333333</v>
      </c>
    </row>
    <row r="90" spans="1:26" s="70" customFormat="1" ht="15" hidden="1" customHeight="1" outlineLevel="2" x14ac:dyDescent="0.3">
      <c r="A90" s="26"/>
      <c r="B90" s="12" t="str">
        <f>CONCATENATE("          ","6235"," - ","COVID-19 EXPENSES")</f>
        <v xml:space="preserve">          6235 - COVID-19 EXPENSES</v>
      </c>
      <c r="C90" s="12"/>
      <c r="D90" s="7"/>
      <c r="E90" s="3"/>
      <c r="F90" s="8">
        <f t="shared" si="12"/>
        <v>0</v>
      </c>
      <c r="G90" s="3"/>
      <c r="H90" s="7">
        <v>250</v>
      </c>
      <c r="I90" s="3"/>
      <c r="J90" s="8">
        <f t="shared" si="13"/>
        <v>5.3154281364746806E-4</v>
      </c>
      <c r="K90" s="3"/>
      <c r="L90" s="7">
        <f t="shared" si="14"/>
        <v>-250</v>
      </c>
      <c r="M90" s="3"/>
      <c r="N90" s="8">
        <f t="shared" si="15"/>
        <v>-1</v>
      </c>
      <c r="O90" s="12"/>
      <c r="P90" s="7">
        <v>690.53</v>
      </c>
      <c r="Q90" s="3"/>
      <c r="R90" s="8">
        <f t="shared" si="16"/>
        <v>3.8318559437472243E-4</v>
      </c>
      <c r="S90" s="3"/>
      <c r="T90" s="7">
        <v>2750</v>
      </c>
      <c r="U90" s="3"/>
      <c r="V90" s="8">
        <f t="shared" si="17"/>
        <v>1.2123627495152754E-3</v>
      </c>
      <c r="W90" s="3"/>
      <c r="X90" s="7">
        <f t="shared" si="18"/>
        <v>-2059.4700000000003</v>
      </c>
      <c r="Y90" s="3"/>
      <c r="Z90" s="8">
        <f t="shared" si="19"/>
        <v>-0.74889818181818191</v>
      </c>
    </row>
    <row r="91" spans="1:26" s="70" customFormat="1" ht="15" hidden="1" customHeight="1" outlineLevel="2" x14ac:dyDescent="0.3">
      <c r="A91" s="26"/>
      <c r="B91" s="12" t="str">
        <f>CONCATENATE("          ","6237"," - ","JANITORIAL SUPPLIES")</f>
        <v xml:space="preserve">          6237 - JANITORIAL SUPPLIES</v>
      </c>
      <c r="C91" s="12"/>
      <c r="D91" s="7">
        <v>1003.26</v>
      </c>
      <c r="E91" s="3"/>
      <c r="F91" s="8">
        <f t="shared" ref="F91:F108" si="20">IF(D$12=0,0,D91/D$12)</f>
        <v>2.4847626067969796E-3</v>
      </c>
      <c r="G91" s="3"/>
      <c r="H91" s="7">
        <v>275</v>
      </c>
      <c r="I91" s="3"/>
      <c r="J91" s="8">
        <f t="shared" ref="J91:J108" si="21">IF(H$12=0,0,H91/H$12)</f>
        <v>5.846970950122148E-4</v>
      </c>
      <c r="K91" s="3"/>
      <c r="L91" s="7">
        <f t="shared" ref="L91:L108" si="22">+D91-H91</f>
        <v>728.26</v>
      </c>
      <c r="M91" s="3"/>
      <c r="N91" s="8">
        <f t="shared" ref="N91:N108" si="23">IF(H91=0,0,L91/H91)</f>
        <v>2.6482181818181818</v>
      </c>
      <c r="O91" s="12"/>
      <c r="P91" s="7">
        <v>8766.57</v>
      </c>
      <c r="Q91" s="3"/>
      <c r="R91" s="8">
        <f t="shared" ref="R91:R108" si="24">IF(P$12=0,0,P91/P$12)</f>
        <v>4.8647029616057389E-3</v>
      </c>
      <c r="S91" s="3"/>
      <c r="T91" s="7">
        <v>3978</v>
      </c>
      <c r="U91" s="3"/>
      <c r="V91" s="8">
        <f t="shared" ref="V91:V108" si="25">IF(T$12=0,0,T91/T$12)</f>
        <v>1.753737824571551E-3</v>
      </c>
      <c r="W91" s="3"/>
      <c r="X91" s="7">
        <f t="shared" ref="X91:X108" si="26">+P91-T91</f>
        <v>4788.57</v>
      </c>
      <c r="Y91" s="3"/>
      <c r="Z91" s="8">
        <f t="shared" ref="Z91:Z108" si="27">IF(T91=0,0,X91/T91)</f>
        <v>1.2037631975867269</v>
      </c>
    </row>
    <row r="92" spans="1:26" s="70" customFormat="1" ht="15" hidden="1" customHeight="1" outlineLevel="2" x14ac:dyDescent="0.3">
      <c r="A92" s="26"/>
      <c r="B92" s="12" t="str">
        <f>CONCATENATE("          ","6239"," - ","KITCHEN SUPPLIES")</f>
        <v xml:space="preserve">          6239 - KITCHEN SUPPLIES</v>
      </c>
      <c r="C92" s="12"/>
      <c r="D92" s="7">
        <v>1727.21</v>
      </c>
      <c r="E92" s="3"/>
      <c r="F92" s="8">
        <f t="shared" si="20"/>
        <v>4.2777613201820178E-3</v>
      </c>
      <c r="G92" s="3"/>
      <c r="H92" s="7"/>
      <c r="I92" s="3"/>
      <c r="J92" s="8">
        <f t="shared" si="21"/>
        <v>0</v>
      </c>
      <c r="K92" s="3"/>
      <c r="L92" s="7">
        <f t="shared" si="22"/>
        <v>1727.21</v>
      </c>
      <c r="M92" s="3"/>
      <c r="N92" s="8">
        <f t="shared" si="23"/>
        <v>0</v>
      </c>
      <c r="O92" s="12"/>
      <c r="P92" s="7">
        <v>8928.15</v>
      </c>
      <c r="Q92" s="3"/>
      <c r="R92" s="8">
        <f t="shared" si="24"/>
        <v>4.954366159930312E-3</v>
      </c>
      <c r="S92" s="3"/>
      <c r="T92" s="7">
        <v>5349</v>
      </c>
      <c r="U92" s="3"/>
      <c r="V92" s="8">
        <f t="shared" si="25"/>
        <v>2.358155762602621E-3</v>
      </c>
      <c r="W92" s="3"/>
      <c r="X92" s="7">
        <f t="shared" si="26"/>
        <v>3579.1499999999996</v>
      </c>
      <c r="Y92" s="3"/>
      <c r="Z92" s="8">
        <f t="shared" si="27"/>
        <v>0.66912507010656186</v>
      </c>
    </row>
    <row r="93" spans="1:26" s="70" customFormat="1" ht="15" hidden="1" customHeight="1" outlineLevel="2" x14ac:dyDescent="0.3">
      <c r="A93" s="26"/>
      <c r="B93" s="12" t="str">
        <f>CONCATENATE("          ","6241"," - ","OFFICE EXPENSE")</f>
        <v xml:space="preserve">          6241 - OFFICE EXPENSE</v>
      </c>
      <c r="C93" s="12"/>
      <c r="D93" s="7">
        <v>97.93</v>
      </c>
      <c r="E93" s="3"/>
      <c r="F93" s="8">
        <f t="shared" si="20"/>
        <v>2.4254211478941473E-4</v>
      </c>
      <c r="G93" s="3"/>
      <c r="H93" s="7"/>
      <c r="I93" s="3"/>
      <c r="J93" s="8">
        <f t="shared" si="21"/>
        <v>0</v>
      </c>
      <c r="K93" s="3"/>
      <c r="L93" s="7">
        <f t="shared" si="22"/>
        <v>97.93</v>
      </c>
      <c r="M93" s="3"/>
      <c r="N93" s="8">
        <f t="shared" si="23"/>
        <v>0</v>
      </c>
      <c r="O93" s="12"/>
      <c r="P93" s="7">
        <v>8089.96</v>
      </c>
      <c r="Q93" s="3"/>
      <c r="R93" s="8">
        <f t="shared" si="24"/>
        <v>4.4892417868415994E-3</v>
      </c>
      <c r="S93" s="3"/>
      <c r="T93" s="7">
        <v>3177</v>
      </c>
      <c r="U93" s="3"/>
      <c r="V93" s="8">
        <f t="shared" si="25"/>
        <v>1.4006096200763745E-3</v>
      </c>
      <c r="W93" s="3"/>
      <c r="X93" s="7">
        <f t="shared" si="26"/>
        <v>4912.96</v>
      </c>
      <c r="Y93" s="3"/>
      <c r="Z93" s="8">
        <f t="shared" si="27"/>
        <v>1.5464148567831288</v>
      </c>
    </row>
    <row r="94" spans="1:26" s="70" customFormat="1" ht="15" hidden="1" customHeight="1" outlineLevel="2" x14ac:dyDescent="0.3">
      <c r="A94" s="26"/>
      <c r="B94" s="12" t="str">
        <f>CONCATENATE("          ","6243"," - ","PAPER SUPPLIES")</f>
        <v xml:space="preserve">          6243 - PAPER SUPPLIES</v>
      </c>
      <c r="C94" s="12"/>
      <c r="D94" s="7">
        <v>1449.52</v>
      </c>
      <c r="E94" s="3"/>
      <c r="F94" s="8">
        <f t="shared" si="20"/>
        <v>3.5900096623052427E-3</v>
      </c>
      <c r="G94" s="3"/>
      <c r="H94" s="7">
        <v>800</v>
      </c>
      <c r="I94" s="3"/>
      <c r="J94" s="8">
        <f t="shared" si="21"/>
        <v>1.7009370036718977E-3</v>
      </c>
      <c r="K94" s="3"/>
      <c r="L94" s="7">
        <f t="shared" si="22"/>
        <v>649.52</v>
      </c>
      <c r="M94" s="3"/>
      <c r="N94" s="8">
        <f t="shared" si="23"/>
        <v>0.81189999999999996</v>
      </c>
      <c r="O94" s="12"/>
      <c r="P94" s="7">
        <v>3315.81</v>
      </c>
      <c r="Q94" s="3"/>
      <c r="R94" s="8">
        <f t="shared" si="24"/>
        <v>1.8399933756442855E-3</v>
      </c>
      <c r="S94" s="3"/>
      <c r="T94" s="7">
        <v>9233</v>
      </c>
      <c r="U94" s="3"/>
      <c r="V94" s="8">
        <f t="shared" si="25"/>
        <v>4.0704528240998314E-3</v>
      </c>
      <c r="W94" s="3"/>
      <c r="X94" s="7">
        <f t="shared" si="26"/>
        <v>-5917.1900000000005</v>
      </c>
      <c r="Y94" s="3"/>
      <c r="Z94" s="8">
        <f t="shared" si="27"/>
        <v>-0.64087403877396298</v>
      </c>
    </row>
    <row r="95" spans="1:26" s="70" customFormat="1" ht="15" hidden="1" customHeight="1" outlineLevel="2" x14ac:dyDescent="0.3">
      <c r="A95" s="26"/>
      <c r="B95" s="12" t="str">
        <f>CONCATENATE("          ","6244"," - ","SAFETY SUPPLY EXPENSE")</f>
        <v xml:space="preserve">          6244 - SAFETY SUPPLY EXPENSE</v>
      </c>
      <c r="C95" s="12"/>
      <c r="D95" s="7"/>
      <c r="E95" s="3"/>
      <c r="F95" s="8">
        <f t="shared" si="20"/>
        <v>0</v>
      </c>
      <c r="G95" s="3"/>
      <c r="H95" s="7">
        <v>50</v>
      </c>
      <c r="I95" s="3"/>
      <c r="J95" s="8">
        <f t="shared" si="21"/>
        <v>1.063085627294936E-4</v>
      </c>
      <c r="K95" s="3"/>
      <c r="L95" s="7">
        <f t="shared" si="22"/>
        <v>-50</v>
      </c>
      <c r="M95" s="3"/>
      <c r="N95" s="8">
        <f t="shared" si="23"/>
        <v>-1</v>
      </c>
      <c r="O95" s="12"/>
      <c r="P95" s="7"/>
      <c r="Q95" s="3"/>
      <c r="R95" s="8">
        <f t="shared" si="24"/>
        <v>0</v>
      </c>
      <c r="S95" s="3"/>
      <c r="T95" s="7">
        <v>150</v>
      </c>
      <c r="U95" s="3"/>
      <c r="V95" s="8">
        <f t="shared" si="25"/>
        <v>6.6128877246287752E-5</v>
      </c>
      <c r="W95" s="3"/>
      <c r="X95" s="7">
        <f t="shared" si="26"/>
        <v>-150</v>
      </c>
      <c r="Y95" s="3"/>
      <c r="Z95" s="8">
        <f t="shared" si="27"/>
        <v>-1</v>
      </c>
    </row>
    <row r="96" spans="1:26" s="70" customFormat="1" ht="15" hidden="1" customHeight="1" outlineLevel="2" x14ac:dyDescent="0.3">
      <c r="A96" s="26"/>
      <c r="B96" s="12" t="str">
        <f>CONCATENATE("          ","6245"," - ","PRINTING")</f>
        <v xml:space="preserve">          6245 - PRINTING</v>
      </c>
      <c r="C96" s="12"/>
      <c r="D96" s="7"/>
      <c r="E96" s="3"/>
      <c r="F96" s="8">
        <f t="shared" si="20"/>
        <v>0</v>
      </c>
      <c r="G96" s="3"/>
      <c r="H96" s="7">
        <v>100</v>
      </c>
      <c r="I96" s="3"/>
      <c r="J96" s="8">
        <f t="shared" si="21"/>
        <v>2.1261712545898721E-4</v>
      </c>
      <c r="K96" s="3"/>
      <c r="L96" s="7">
        <f t="shared" si="22"/>
        <v>-100</v>
      </c>
      <c r="M96" s="3"/>
      <c r="N96" s="8">
        <f t="shared" si="23"/>
        <v>-1</v>
      </c>
      <c r="O96" s="12"/>
      <c r="P96" s="7">
        <v>1071</v>
      </c>
      <c r="Q96" s="3"/>
      <c r="R96" s="8">
        <f t="shared" si="24"/>
        <v>5.9431418124531561E-4</v>
      </c>
      <c r="S96" s="3"/>
      <c r="T96" s="7">
        <v>1800</v>
      </c>
      <c r="U96" s="3"/>
      <c r="V96" s="8">
        <f t="shared" si="25"/>
        <v>7.9354652695545291E-4</v>
      </c>
      <c r="W96" s="3"/>
      <c r="X96" s="7">
        <f t="shared" si="26"/>
        <v>-729</v>
      </c>
      <c r="Y96" s="3"/>
      <c r="Z96" s="8">
        <f t="shared" si="27"/>
        <v>-0.40500000000000003</v>
      </c>
    </row>
    <row r="97" spans="1:26" s="70" customFormat="1" ht="15" hidden="1" customHeight="1" outlineLevel="2" x14ac:dyDescent="0.3">
      <c r="A97" s="26"/>
      <c r="B97" s="12" t="str">
        <f>CONCATENATE("          ","6247"," - ","STORE SUPPLIES")</f>
        <v xml:space="preserve">          6247 - STORE SUPPLIES</v>
      </c>
      <c r="C97" s="12"/>
      <c r="D97" s="7">
        <v>-733.34</v>
      </c>
      <c r="E97" s="3"/>
      <c r="F97" s="8">
        <f t="shared" si="20"/>
        <v>-1.816254819357392E-3</v>
      </c>
      <c r="G97" s="3"/>
      <c r="H97" s="7">
        <v>1250</v>
      </c>
      <c r="I97" s="3"/>
      <c r="J97" s="8">
        <f t="shared" si="21"/>
        <v>2.6577140682373401E-3</v>
      </c>
      <c r="K97" s="3"/>
      <c r="L97" s="7">
        <f t="shared" si="22"/>
        <v>-1983.3400000000001</v>
      </c>
      <c r="M97" s="3"/>
      <c r="N97" s="8">
        <f t="shared" si="23"/>
        <v>-1.5866720000000001</v>
      </c>
      <c r="O97" s="12"/>
      <c r="P97" s="7">
        <v>3884.45</v>
      </c>
      <c r="Q97" s="3"/>
      <c r="R97" s="8">
        <f t="shared" si="24"/>
        <v>2.1555403560582316E-3</v>
      </c>
      <c r="S97" s="3"/>
      <c r="T97" s="7">
        <v>16261</v>
      </c>
      <c r="U97" s="3"/>
      <c r="V97" s="8">
        <f t="shared" si="25"/>
        <v>7.1688111526792336E-3</v>
      </c>
      <c r="W97" s="3"/>
      <c r="X97" s="7">
        <f t="shared" si="26"/>
        <v>-12376.55</v>
      </c>
      <c r="Y97" s="3"/>
      <c r="Z97" s="8">
        <f t="shared" si="27"/>
        <v>-0.76111862739068936</v>
      </c>
    </row>
    <row r="98" spans="1:26" s="70" customFormat="1" ht="15" hidden="1" customHeight="1" outlineLevel="2" x14ac:dyDescent="0.3">
      <c r="A98" s="26"/>
      <c r="B98" s="12" t="str">
        <f>CONCATENATE("          ","6248"," - ","UNIFORMS")</f>
        <v xml:space="preserve">          6248 - UNIFORMS</v>
      </c>
      <c r="C98" s="12"/>
      <c r="D98" s="7">
        <v>198.45</v>
      </c>
      <c r="E98" s="3"/>
      <c r="F98" s="8">
        <f t="shared" si="20"/>
        <v>4.9149885305789184E-4</v>
      </c>
      <c r="G98" s="3"/>
      <c r="H98" s="7"/>
      <c r="I98" s="3"/>
      <c r="J98" s="8">
        <f t="shared" si="21"/>
        <v>0</v>
      </c>
      <c r="K98" s="3"/>
      <c r="L98" s="7">
        <f t="shared" si="22"/>
        <v>198.45</v>
      </c>
      <c r="M98" s="3"/>
      <c r="N98" s="8">
        <f t="shared" si="23"/>
        <v>0</v>
      </c>
      <c r="O98" s="12"/>
      <c r="P98" s="7">
        <v>2988.45</v>
      </c>
      <c r="Q98" s="3"/>
      <c r="R98" s="8">
        <f t="shared" si="24"/>
        <v>1.6583363351471178E-3</v>
      </c>
      <c r="S98" s="3"/>
      <c r="T98" s="7">
        <v>3850</v>
      </c>
      <c r="U98" s="3"/>
      <c r="V98" s="8">
        <f t="shared" si="25"/>
        <v>1.6973078493213855E-3</v>
      </c>
      <c r="W98" s="3"/>
      <c r="X98" s="7">
        <f t="shared" si="26"/>
        <v>-861.55000000000018</v>
      </c>
      <c r="Y98" s="3"/>
      <c r="Z98" s="8">
        <f t="shared" si="27"/>
        <v>-0.22377922077922083</v>
      </c>
    </row>
    <row r="99" spans="1:26" s="69" customFormat="1" ht="15" customHeight="1" outlineLevel="1" collapsed="1" x14ac:dyDescent="0.3">
      <c r="A99" s="25"/>
      <c r="B99" s="14" t="str">
        <f>CONCATENATE("     ","Telephone/Data Lines                              ")</f>
        <v xml:space="preserve">     Telephone/Data Lines                              </v>
      </c>
      <c r="C99" s="14"/>
      <c r="D99" s="2">
        <f>SUM(OSRRefD22_17x_0)</f>
        <v>1441.5</v>
      </c>
      <c r="E99" s="2"/>
      <c r="F99" s="6">
        <f t="shared" si="20"/>
        <v>3.5701466197175669E-3</v>
      </c>
      <c r="G99" s="2"/>
      <c r="H99" s="2">
        <f>SUM(OSRRefH22_17x_0)</f>
        <v>538</v>
      </c>
      <c r="I99" s="2"/>
      <c r="J99" s="6">
        <f t="shared" si="21"/>
        <v>1.1438801349693513E-3</v>
      </c>
      <c r="K99" s="2"/>
      <c r="L99" s="2">
        <f t="shared" si="22"/>
        <v>903.5</v>
      </c>
      <c r="M99" s="2"/>
      <c r="N99" s="6">
        <f t="shared" si="23"/>
        <v>1.6793680297397771</v>
      </c>
      <c r="O99" s="14"/>
      <c r="P99" s="2">
        <f>SUM(OSRRefP22_17x_0)</f>
        <v>8573.0400000000009</v>
      </c>
      <c r="Q99" s="2"/>
      <c r="R99" s="6">
        <f t="shared" si="24"/>
        <v>4.7573102225801503E-3</v>
      </c>
      <c r="S99" s="2"/>
      <c r="T99" s="2">
        <f>SUM(OSRRefT22_17x_0)</f>
        <v>5830</v>
      </c>
      <c r="U99" s="2"/>
      <c r="V99" s="6">
        <f t="shared" si="25"/>
        <v>2.5702090289723839E-3</v>
      </c>
      <c r="W99" s="2"/>
      <c r="X99" s="2">
        <f t="shared" si="26"/>
        <v>2743.0400000000009</v>
      </c>
      <c r="Y99" s="2"/>
      <c r="Z99" s="6">
        <f t="shared" si="27"/>
        <v>0.47050428816466566</v>
      </c>
    </row>
    <row r="100" spans="1:26" s="70" customFormat="1" ht="15" hidden="1" customHeight="1" outlineLevel="2" x14ac:dyDescent="0.3">
      <c r="A100" s="26"/>
      <c r="B100" s="12" t="str">
        <f>CONCATENATE("          ","6303"," - ","DATA PHONE LINES")</f>
        <v xml:space="preserve">          6303 - DATA PHONE LINES</v>
      </c>
      <c r="C100" s="12"/>
      <c r="D100" s="7"/>
      <c r="E100" s="3"/>
      <c r="F100" s="8">
        <f t="shared" si="20"/>
        <v>0</v>
      </c>
      <c r="G100" s="3"/>
      <c r="H100" s="7">
        <v>185</v>
      </c>
      <c r="I100" s="3"/>
      <c r="J100" s="8">
        <f t="shared" si="21"/>
        <v>3.9334168209912638E-4</v>
      </c>
      <c r="K100" s="3"/>
      <c r="L100" s="7">
        <f t="shared" si="22"/>
        <v>-185</v>
      </c>
      <c r="M100" s="3"/>
      <c r="N100" s="8">
        <f t="shared" si="23"/>
        <v>-1</v>
      </c>
      <c r="O100" s="12"/>
      <c r="P100" s="7"/>
      <c r="Q100" s="3"/>
      <c r="R100" s="8">
        <f t="shared" si="24"/>
        <v>0</v>
      </c>
      <c r="S100" s="3"/>
      <c r="T100" s="7">
        <v>1850</v>
      </c>
      <c r="U100" s="3"/>
      <c r="V100" s="8">
        <f t="shared" si="25"/>
        <v>8.1558948603754889E-4</v>
      </c>
      <c r="W100" s="3"/>
      <c r="X100" s="7">
        <f t="shared" si="26"/>
        <v>-1850</v>
      </c>
      <c r="Y100" s="3"/>
      <c r="Z100" s="8">
        <f t="shared" si="27"/>
        <v>-1</v>
      </c>
    </row>
    <row r="101" spans="1:26" s="70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7">
        <v>1441.5</v>
      </c>
      <c r="E101" s="3"/>
      <c r="F101" s="8">
        <f t="shared" si="20"/>
        <v>3.5701466197175669E-3</v>
      </c>
      <c r="G101" s="3"/>
      <c r="H101" s="7">
        <v>353</v>
      </c>
      <c r="I101" s="3"/>
      <c r="J101" s="8">
        <f t="shared" si="21"/>
        <v>7.5053845287022486E-4</v>
      </c>
      <c r="K101" s="3"/>
      <c r="L101" s="7">
        <f t="shared" si="22"/>
        <v>1088.5</v>
      </c>
      <c r="M101" s="3"/>
      <c r="N101" s="8">
        <f t="shared" si="23"/>
        <v>3.08356940509915</v>
      </c>
      <c r="O101" s="12"/>
      <c r="P101" s="7">
        <v>8573.0400000000009</v>
      </c>
      <c r="Q101" s="3"/>
      <c r="R101" s="8">
        <f t="shared" si="24"/>
        <v>4.7573102225801503E-3</v>
      </c>
      <c r="S101" s="3"/>
      <c r="T101" s="7">
        <v>3980</v>
      </c>
      <c r="U101" s="3"/>
      <c r="V101" s="8">
        <f t="shared" si="25"/>
        <v>1.7546195429348349E-3</v>
      </c>
      <c r="W101" s="3"/>
      <c r="X101" s="7">
        <f t="shared" si="26"/>
        <v>4593.0400000000009</v>
      </c>
      <c r="Y101" s="3"/>
      <c r="Z101" s="8">
        <f t="shared" si="27"/>
        <v>1.1540301507537691</v>
      </c>
    </row>
    <row r="102" spans="1:26" s="69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SUM(OSRRefD22_18x_0)</f>
        <v>15.95</v>
      </c>
      <c r="E102" s="2"/>
      <c r="F102" s="6">
        <f t="shared" si="20"/>
        <v>3.9503183201175988E-5</v>
      </c>
      <c r="G102" s="2"/>
      <c r="H102" s="2">
        <f>SUM(OSRRefH22_18x_0)</f>
        <v>0</v>
      </c>
      <c r="I102" s="2"/>
      <c r="J102" s="6">
        <f t="shared" si="21"/>
        <v>0</v>
      </c>
      <c r="K102" s="2"/>
      <c r="L102" s="2">
        <f t="shared" si="22"/>
        <v>15.95</v>
      </c>
      <c r="M102" s="2"/>
      <c r="N102" s="6">
        <f t="shared" si="23"/>
        <v>0</v>
      </c>
      <c r="O102" s="14"/>
      <c r="P102" s="2">
        <f>SUM(OSRRefP22_18x_0)</f>
        <v>815.95</v>
      </c>
      <c r="Q102" s="2"/>
      <c r="R102" s="6">
        <f t="shared" si="24"/>
        <v>4.5278305899824022E-4</v>
      </c>
      <c r="S102" s="2"/>
      <c r="T102" s="2">
        <f>SUM(OSRRefT22_18x_0)</f>
        <v>5310</v>
      </c>
      <c r="U102" s="2"/>
      <c r="V102" s="6">
        <f t="shared" si="25"/>
        <v>2.3409622545185861E-3</v>
      </c>
      <c r="W102" s="2"/>
      <c r="X102" s="2">
        <f t="shared" si="26"/>
        <v>-4494.05</v>
      </c>
      <c r="Y102" s="2"/>
      <c r="Z102" s="6">
        <f t="shared" si="27"/>
        <v>-0.84633709981167615</v>
      </c>
    </row>
    <row r="103" spans="1:26" s="70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7">
        <v>15.95</v>
      </c>
      <c r="E103" s="3"/>
      <c r="F103" s="8">
        <f t="shared" si="20"/>
        <v>3.9503183201175988E-5</v>
      </c>
      <c r="G103" s="3"/>
      <c r="H103" s="7"/>
      <c r="I103" s="3"/>
      <c r="J103" s="8">
        <f t="shared" si="21"/>
        <v>0</v>
      </c>
      <c r="K103" s="3"/>
      <c r="L103" s="7">
        <f t="shared" si="22"/>
        <v>15.95</v>
      </c>
      <c r="M103" s="3"/>
      <c r="N103" s="8">
        <f t="shared" si="23"/>
        <v>0</v>
      </c>
      <c r="O103" s="12"/>
      <c r="P103" s="7">
        <v>815.95</v>
      </c>
      <c r="Q103" s="3"/>
      <c r="R103" s="8">
        <f t="shared" si="24"/>
        <v>4.5278305899824022E-4</v>
      </c>
      <c r="S103" s="3"/>
      <c r="T103" s="7">
        <v>5310</v>
      </c>
      <c r="U103" s="3"/>
      <c r="V103" s="8">
        <f t="shared" si="25"/>
        <v>2.3409622545185861E-3</v>
      </c>
      <c r="W103" s="3"/>
      <c r="X103" s="7">
        <f t="shared" si="26"/>
        <v>-4494.05</v>
      </c>
      <c r="Y103" s="3"/>
      <c r="Z103" s="8">
        <f t="shared" si="27"/>
        <v>-0.84633709981167615</v>
      </c>
    </row>
    <row r="104" spans="1:26" s="69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SUM(OSRRefD22_19x_0)</f>
        <v>0</v>
      </c>
      <c r="E104" s="2"/>
      <c r="F104" s="6">
        <f t="shared" si="20"/>
        <v>0</v>
      </c>
      <c r="G104" s="2"/>
      <c r="H104" s="2">
        <f>SUM(OSRRefH22_19x_0)</f>
        <v>0</v>
      </c>
      <c r="I104" s="2"/>
      <c r="J104" s="6">
        <f t="shared" si="21"/>
        <v>0</v>
      </c>
      <c r="K104" s="2"/>
      <c r="L104" s="2">
        <f t="shared" si="22"/>
        <v>0</v>
      </c>
      <c r="M104" s="2"/>
      <c r="N104" s="6">
        <f t="shared" si="23"/>
        <v>0</v>
      </c>
      <c r="O104" s="14"/>
      <c r="P104" s="2">
        <f>SUM(OSRRefP22_19x_0)</f>
        <v>141.24</v>
      </c>
      <c r="Q104" s="2"/>
      <c r="R104" s="6">
        <f t="shared" si="24"/>
        <v>7.8376223117729583E-5</v>
      </c>
      <c r="S104" s="2"/>
      <c r="T104" s="2">
        <f>SUM(OSRRefT22_19x_0)</f>
        <v>1200</v>
      </c>
      <c r="U104" s="2"/>
      <c r="V104" s="6">
        <f t="shared" si="25"/>
        <v>5.2903101797030202E-4</v>
      </c>
      <c r="W104" s="2"/>
      <c r="X104" s="2">
        <f t="shared" si="26"/>
        <v>-1058.76</v>
      </c>
      <c r="Y104" s="2"/>
      <c r="Z104" s="6">
        <f t="shared" si="27"/>
        <v>-0.88229999999999997</v>
      </c>
    </row>
    <row r="105" spans="1:26" s="70" customFormat="1" ht="15" hidden="1" customHeight="1" outlineLevel="2" x14ac:dyDescent="0.3">
      <c r="A105" s="26"/>
      <c r="B105" s="12" t="str">
        <f>CONCATENATE("          ","6292"," - ","TRAVEL/CONFERENCE")</f>
        <v xml:space="preserve">          6292 - TRAVEL/CONFERENCE</v>
      </c>
      <c r="C105" s="12"/>
      <c r="D105" s="7"/>
      <c r="E105" s="3"/>
      <c r="F105" s="8">
        <f t="shared" si="20"/>
        <v>0</v>
      </c>
      <c r="G105" s="3"/>
      <c r="H105" s="7"/>
      <c r="I105" s="3"/>
      <c r="J105" s="8">
        <f t="shared" si="21"/>
        <v>0</v>
      </c>
      <c r="K105" s="3"/>
      <c r="L105" s="7">
        <f t="shared" si="22"/>
        <v>0</v>
      </c>
      <c r="M105" s="3"/>
      <c r="N105" s="8">
        <f t="shared" si="23"/>
        <v>0</v>
      </c>
      <c r="O105" s="12"/>
      <c r="P105" s="7">
        <v>18.59</v>
      </c>
      <c r="Q105" s="3"/>
      <c r="R105" s="8">
        <f t="shared" si="24"/>
        <v>1.031587360350179E-5</v>
      </c>
      <c r="S105" s="3"/>
      <c r="T105" s="7">
        <v>1200</v>
      </c>
      <c r="U105" s="3"/>
      <c r="V105" s="8">
        <f t="shared" si="25"/>
        <v>5.2903101797030202E-4</v>
      </c>
      <c r="W105" s="3"/>
      <c r="X105" s="7">
        <f t="shared" si="26"/>
        <v>-1181.4100000000001</v>
      </c>
      <c r="Y105" s="3"/>
      <c r="Z105" s="8">
        <f t="shared" si="27"/>
        <v>-0.98450833333333343</v>
      </c>
    </row>
    <row r="106" spans="1:26" s="70" customFormat="1" ht="15" hidden="1" customHeight="1" outlineLevel="2" x14ac:dyDescent="0.3">
      <c r="A106" s="26"/>
      <c r="B106" s="12" t="str">
        <f>CONCATENATE("          ","6298"," - ","VEHICLE MILEAGE")</f>
        <v xml:space="preserve">          6298 - VEHICLE MILEAGE</v>
      </c>
      <c r="C106" s="12"/>
      <c r="D106" s="7"/>
      <c r="E106" s="3"/>
      <c r="F106" s="8">
        <f t="shared" si="20"/>
        <v>0</v>
      </c>
      <c r="G106" s="3"/>
      <c r="H106" s="7"/>
      <c r="I106" s="3"/>
      <c r="J106" s="8">
        <f t="shared" si="21"/>
        <v>0</v>
      </c>
      <c r="K106" s="3"/>
      <c r="L106" s="7">
        <f t="shared" si="22"/>
        <v>0</v>
      </c>
      <c r="M106" s="3"/>
      <c r="N106" s="8">
        <f t="shared" si="23"/>
        <v>0</v>
      </c>
      <c r="O106" s="12"/>
      <c r="P106" s="7">
        <v>122.65</v>
      </c>
      <c r="Q106" s="3"/>
      <c r="R106" s="8">
        <f t="shared" si="24"/>
        <v>6.806034951422779E-5</v>
      </c>
      <c r="S106" s="3"/>
      <c r="T106" s="7"/>
      <c r="U106" s="3"/>
      <c r="V106" s="8">
        <f t="shared" si="25"/>
        <v>0</v>
      </c>
      <c r="W106" s="3"/>
      <c r="X106" s="7">
        <f t="shared" si="26"/>
        <v>122.65</v>
      </c>
      <c r="Y106" s="3"/>
      <c r="Z106" s="8">
        <f t="shared" si="27"/>
        <v>0</v>
      </c>
    </row>
    <row r="107" spans="1:26" s="69" customFormat="1" ht="15" customHeight="1" outlineLevel="1" collapsed="1" x14ac:dyDescent="0.3">
      <c r="A107" s="25"/>
      <c r="B107" s="14" t="str">
        <f>CONCATENATE("     ","Utilities                                         ")</f>
        <v xml:space="preserve">     Utilities                                         </v>
      </c>
      <c r="C107" s="14"/>
      <c r="D107" s="2">
        <f>SUM(OSRRefD22_20x_0)</f>
        <v>8250</v>
      </c>
      <c r="E107" s="2"/>
      <c r="F107" s="6">
        <f t="shared" si="20"/>
        <v>2.0432680966125515E-2</v>
      </c>
      <c r="G107" s="2"/>
      <c r="H107" s="2">
        <f>SUM(OSRRefH22_20x_0)</f>
        <v>8667</v>
      </c>
      <c r="I107" s="2"/>
      <c r="J107" s="6">
        <f t="shared" si="21"/>
        <v>1.8427526263530423E-2</v>
      </c>
      <c r="K107" s="2"/>
      <c r="L107" s="2">
        <f t="shared" si="22"/>
        <v>-417</v>
      </c>
      <c r="M107" s="2"/>
      <c r="N107" s="6">
        <f t="shared" si="23"/>
        <v>-4.8113534094842508E-2</v>
      </c>
      <c r="O107" s="14"/>
      <c r="P107" s="2">
        <f>SUM(OSRRefP22_20x_0)</f>
        <v>80100</v>
      </c>
      <c r="Q107" s="2"/>
      <c r="R107" s="6">
        <f t="shared" si="24"/>
        <v>4.4448707672968983E-2</v>
      </c>
      <c r="S107" s="2"/>
      <c r="T107" s="2">
        <f>SUM(OSRRefT22_20x_0)</f>
        <v>86670</v>
      </c>
      <c r="U107" s="2"/>
      <c r="V107" s="6">
        <f t="shared" si="25"/>
        <v>3.8209265272905059E-2</v>
      </c>
      <c r="W107" s="2"/>
      <c r="X107" s="2">
        <f t="shared" si="26"/>
        <v>-6570</v>
      </c>
      <c r="Y107" s="2"/>
      <c r="Z107" s="6">
        <f t="shared" si="27"/>
        <v>-7.5804776739356178E-2</v>
      </c>
    </row>
    <row r="108" spans="1:26" s="70" customFormat="1" ht="15" hidden="1" customHeight="1" outlineLevel="2" x14ac:dyDescent="0.3">
      <c r="A108" s="26"/>
      <c r="B108" s="12" t="str">
        <f>CONCATENATE("          ","6274"," - ","UTILITIES")</f>
        <v xml:space="preserve">          6274 - UTILITIES</v>
      </c>
      <c r="C108" s="12"/>
      <c r="D108" s="7">
        <v>8250</v>
      </c>
      <c r="E108" s="3"/>
      <c r="F108" s="8">
        <f t="shared" si="20"/>
        <v>2.0432680966125515E-2</v>
      </c>
      <c r="G108" s="3"/>
      <c r="H108" s="7">
        <v>8667</v>
      </c>
      <c r="I108" s="3"/>
      <c r="J108" s="8">
        <f t="shared" si="21"/>
        <v>1.8427526263530423E-2</v>
      </c>
      <c r="K108" s="3"/>
      <c r="L108" s="7">
        <f t="shared" si="22"/>
        <v>-417</v>
      </c>
      <c r="M108" s="3"/>
      <c r="N108" s="8">
        <f t="shared" si="23"/>
        <v>-4.8113534094842508E-2</v>
      </c>
      <c r="O108" s="12"/>
      <c r="P108" s="7">
        <v>80100</v>
      </c>
      <c r="Q108" s="3"/>
      <c r="R108" s="8">
        <f t="shared" si="24"/>
        <v>4.4448707672968983E-2</v>
      </c>
      <c r="S108" s="3"/>
      <c r="T108" s="7">
        <v>86670</v>
      </c>
      <c r="U108" s="3"/>
      <c r="V108" s="8">
        <f t="shared" si="25"/>
        <v>3.8209265272905059E-2</v>
      </c>
      <c r="W108" s="3"/>
      <c r="X108" s="7">
        <f t="shared" si="26"/>
        <v>-6570</v>
      </c>
      <c r="Y108" s="3"/>
      <c r="Z108" s="8">
        <f t="shared" si="27"/>
        <v>-7.5804776739356178E-2</v>
      </c>
    </row>
    <row r="109" spans="1:26" s="65" customFormat="1" ht="15" customHeight="1" x14ac:dyDescent="0.3">
      <c r="A109" s="35"/>
      <c r="B109" s="35"/>
      <c r="C109" s="35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35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63" customFormat="1" ht="15" customHeight="1" collapsed="1" x14ac:dyDescent="0.3">
      <c r="A110" s="11"/>
      <c r="B110" s="28" t="s">
        <v>291</v>
      </c>
      <c r="C110" s="11"/>
      <c r="D110" s="5">
        <f>SUM(OSRRefD25x_0)</f>
        <v>6601.19</v>
      </c>
      <c r="E110" s="5"/>
      <c r="F110" s="13">
        <f>IF(D$12=0,0,D110/D$12)</f>
        <v>1.6349092032336737E-2</v>
      </c>
      <c r="G110" s="5"/>
      <c r="H110" s="5">
        <f>SUM(OSRRefH25x_0)</f>
        <v>28752.129999999997</v>
      </c>
      <c r="I110" s="5"/>
      <c r="J110" s="13">
        <f>IF(H$12=0,0,H110/H$12)</f>
        <v>6.1131952314231096E-2</v>
      </c>
      <c r="K110" s="5"/>
      <c r="L110" s="5">
        <f>+D110-H110</f>
        <v>-22150.94</v>
      </c>
      <c r="M110" s="5"/>
      <c r="N110" s="13">
        <f>IF(H110=0,0,L110/H110)</f>
        <v>-0.77041040089899426</v>
      </c>
      <c r="O110" s="11"/>
      <c r="P110" s="5">
        <f>SUM(OSRRefP25x_0)</f>
        <v>175136.04</v>
      </c>
      <c r="Q110" s="5"/>
      <c r="R110" s="13">
        <f>IF(P$12=0,0,P110/P$12)</f>
        <v>9.7185650998269688E-2</v>
      </c>
      <c r="S110" s="5"/>
      <c r="T110" s="5">
        <f>SUM(OSRRefT25x_0)</f>
        <v>134732.53</v>
      </c>
      <c r="U110" s="5"/>
      <c r="V110" s="13">
        <f>IF(T$12=0,0,T110/T$12)</f>
        <v>5.9398072916345204E-2</v>
      </c>
      <c r="W110" s="5"/>
      <c r="X110" s="5">
        <f>+P110-T110</f>
        <v>40403.510000000009</v>
      </c>
      <c r="Y110" s="5"/>
      <c r="Z110" s="13">
        <f>IF(T110=0,0,X110/T110)</f>
        <v>0.29987939809339298</v>
      </c>
    </row>
    <row r="111" spans="1:26" s="70" customFormat="1" ht="15" hidden="1" customHeight="1" outlineLevel="1" x14ac:dyDescent="0.3">
      <c r="A111" s="42"/>
      <c r="B111" s="12" t="str">
        <f>CONCATENATE("          ","9150"," - ","MISC. INCOME")</f>
        <v xml:space="preserve">          9150 - MISC. INCOME</v>
      </c>
      <c r="C111" s="12"/>
      <c r="D111" s="3">
        <f>--6601.19</f>
        <v>6601.19</v>
      </c>
      <c r="E111" s="3"/>
      <c r="F111" s="20">
        <f>IF(D$12=0,0,D111/D$12)</f>
        <v>1.6349092032336737E-2</v>
      </c>
      <c r="G111" s="3"/>
      <c r="H111" s="3"/>
      <c r="I111" s="3"/>
      <c r="J111" s="20">
        <f>IF(H$12=0,0,H111/H$12)</f>
        <v>0</v>
      </c>
      <c r="K111" s="3"/>
      <c r="L111" s="3">
        <f>+D111-H111</f>
        <v>6601.19</v>
      </c>
      <c r="M111" s="3"/>
      <c r="N111" s="20">
        <f>IF(H111=0,0,L111/H111)</f>
        <v>0</v>
      </c>
      <c r="O111" s="12"/>
      <c r="P111" s="3">
        <f>--175136.04</f>
        <v>175136.04</v>
      </c>
      <c r="Q111" s="3"/>
      <c r="R111" s="20">
        <f>IF(P$12=0,0,P111/P$12)</f>
        <v>9.7185650998269688E-2</v>
      </c>
      <c r="S111" s="3"/>
      <c r="T111" s="3">
        <v>1000</v>
      </c>
      <c r="U111" s="3"/>
      <c r="V111" s="20">
        <f>IF(T$12=0,0,T111/T$12)</f>
        <v>4.4085918164191829E-4</v>
      </c>
      <c r="W111" s="3"/>
      <c r="X111" s="3">
        <f>+P111-T111</f>
        <v>174136.04</v>
      </c>
      <c r="Y111" s="3"/>
      <c r="Z111" s="20">
        <f>IF(T111=0,0,X111/T111)</f>
        <v>174.13604000000001</v>
      </c>
    </row>
    <row r="112" spans="1:26" s="70" customFormat="1" ht="15" hidden="1" customHeight="1" outlineLevel="1" x14ac:dyDescent="0.3">
      <c r="A112" s="42"/>
      <c r="B112" s="12" t="str">
        <f>CONCATENATE("          ","9151"," - ","MISC. INCOME")</f>
        <v xml:space="preserve">          9151 - MISC.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>
        <v>12530.38</v>
      </c>
      <c r="I112" s="3"/>
      <c r="J112" s="20">
        <f>IF(H$12=0,0,H112/H$12)</f>
        <v>2.6641733765087841E-2</v>
      </c>
      <c r="K112" s="3"/>
      <c r="L112" s="3">
        <f>+D112-H112</f>
        <v>-12530.38</v>
      </c>
      <c r="M112" s="3"/>
      <c r="N112" s="20">
        <f>IF(H112=0,0,L112/H112)</f>
        <v>-1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>
        <v>57298.91</v>
      </c>
      <c r="U112" s="3"/>
      <c r="V112" s="20">
        <f>IF(T$12=0,0,T112/T$12)</f>
        <v>2.5260750571573929E-2</v>
      </c>
      <c r="W112" s="3"/>
      <c r="X112" s="3">
        <f>+P112-T112</f>
        <v>-57298.91</v>
      </c>
      <c r="Y112" s="3"/>
      <c r="Z112" s="20">
        <f>IF(T112=0,0,X112/T112)</f>
        <v>-1</v>
      </c>
    </row>
    <row r="113" spans="1:26" s="70" customFormat="1" ht="15" hidden="1" customHeight="1" outlineLevel="1" x14ac:dyDescent="0.3">
      <c r="A113" s="42"/>
      <c r="B113" s="12" t="str">
        <f>CONCATENATE("          ","9160"," - ","MISC. INCOME")</f>
        <v xml:space="preserve">          9160 -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v>16221.75</v>
      </c>
      <c r="I113" s="3"/>
      <c r="J113" s="20">
        <f>IF(H$12=0,0,H113/H$12)</f>
        <v>3.4490218549143262E-2</v>
      </c>
      <c r="K113" s="3"/>
      <c r="L113" s="3">
        <f>+D113-H113</f>
        <v>-16221.75</v>
      </c>
      <c r="M113" s="3"/>
      <c r="N113" s="20">
        <f>IF(H113=0,0,L113/H113)</f>
        <v>-1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v>76433.62</v>
      </c>
      <c r="U113" s="3"/>
      <c r="V113" s="20">
        <f>IF(T$12=0,0,T113/T$12)</f>
        <v>3.369646316312936E-2</v>
      </c>
      <c r="W113" s="3"/>
      <c r="X113" s="3">
        <f>+P113-T113</f>
        <v>-76433.62</v>
      </c>
      <c r="Y113" s="3"/>
      <c r="Z113" s="20">
        <f>IF(T113=0,0,X113/T113)</f>
        <v>-1</v>
      </c>
    </row>
    <row r="114" spans="1:26" s="70" customFormat="1" ht="15" hidden="1" customHeight="1" outlineLevel="1" x14ac:dyDescent="0.3">
      <c r="A114" s="42"/>
      <c r="B114" s="12" t="str">
        <f>CONCATENATE("          ","9165"," - ","OTHER INCOME")</f>
        <v xml:space="preserve">          9165 - OTHER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/>
      <c r="I114" s="3"/>
      <c r="J114" s="20">
        <f>IF(H$12=0,0,H114/H$12)</f>
        <v>0</v>
      </c>
      <c r="K114" s="3"/>
      <c r="L114" s="3">
        <f>+D114-H114</f>
        <v>0</v>
      </c>
      <c r="M114" s="3"/>
      <c r="N114" s="20">
        <f>IF(H114=0,0,L114/H114)</f>
        <v>0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/>
      <c r="U114" s="3"/>
      <c r="V114" s="20">
        <f>IF(T$12=0,0,T114/T$12)</f>
        <v>0</v>
      </c>
      <c r="W114" s="3"/>
      <c r="X114" s="3">
        <f>+P114-T114</f>
        <v>0</v>
      </c>
      <c r="Y114" s="3"/>
      <c r="Z114" s="20">
        <f>IF(T114=0,0,X114/T114)</f>
        <v>0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11"/>
      <c r="B116" s="27" t="s">
        <v>292</v>
      </c>
      <c r="C116" s="27"/>
      <c r="D116" s="21">
        <f>+D25-D27+D110</f>
        <v>-40104.45000000007</v>
      </c>
      <c r="E116" s="15"/>
      <c r="F116" s="23">
        <f>IF(D$12=0,0,D116/D$12)</f>
        <v>-9.9326234202658639E-2</v>
      </c>
      <c r="G116" s="15"/>
      <c r="H116" s="21">
        <f>+H25-H27+H110</f>
        <v>45526.472822707488</v>
      </c>
      <c r="I116" s="15"/>
      <c r="J116" s="23">
        <f>IF(H$12=0,0,H116/H$12)</f>
        <v>9.6797077838507703E-2</v>
      </c>
      <c r="K116" s="17"/>
      <c r="L116" s="21">
        <f>+D116-H116</f>
        <v>-85630.922822707566</v>
      </c>
      <c r="M116" s="17"/>
      <c r="N116" s="23">
        <f>IF(H116=0,0,L116/H116)</f>
        <v>-1.8809039557309382</v>
      </c>
      <c r="O116" s="28"/>
      <c r="P116" s="21">
        <f>+P25-P27+P110</f>
        <v>-949501.35000000009</v>
      </c>
      <c r="Q116" s="15"/>
      <c r="R116" s="23">
        <f>IF(P$12=0,0,P116/P$12)</f>
        <v>-0.5268927333488066</v>
      </c>
      <c r="S116" s="15"/>
      <c r="T116" s="21">
        <f>+T25-T27+T110</f>
        <v>-705488.83622107585</v>
      </c>
      <c r="U116" s="15"/>
      <c r="V116" s="23">
        <f>IF(T$12=0,0,T116/T$12)</f>
        <v>-0.31102123099393281</v>
      </c>
      <c r="W116" s="17"/>
      <c r="X116" s="21">
        <f>+P116-T116</f>
        <v>-244012.51377892424</v>
      </c>
      <c r="Y116" s="17"/>
      <c r="Z116" s="23">
        <f>IF(T116=0,0,X116/T116)</f>
        <v>0.34587721484859774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3">
      <c r="A118" s="49"/>
      <c r="B118" s="11" t="s">
        <v>293</v>
      </c>
      <c r="C118" s="11"/>
      <c r="D118" s="5">
        <v>37261.17</v>
      </c>
      <c r="E118" s="5"/>
      <c r="F118" s="13">
        <f>IF(D$12=0,0,D118/D$12)</f>
        <v>9.228431503449297E-2</v>
      </c>
      <c r="G118" s="5"/>
      <c r="H118" s="5">
        <v>60074</v>
      </c>
      <c r="I118" s="5"/>
      <c r="J118" s="13">
        <f>IF(H$12=0,0,H118/H$12)</f>
        <v>0.12772761194823198</v>
      </c>
      <c r="K118" s="5"/>
      <c r="L118" s="5">
        <f>+D118-H118</f>
        <v>-22812.83</v>
      </c>
      <c r="M118" s="5"/>
      <c r="N118" s="13">
        <f>IF(H118=0,0,L118/H118)</f>
        <v>-0.37974548057395879</v>
      </c>
      <c r="O118" s="11"/>
      <c r="P118" s="5">
        <v>204146.29</v>
      </c>
      <c r="Q118" s="5"/>
      <c r="R118" s="13">
        <f>IF(P$12=0,0,P118/P$12)</f>
        <v>0.11328387973447129</v>
      </c>
      <c r="S118" s="5"/>
      <c r="T118" s="5">
        <v>279033</v>
      </c>
      <c r="U118" s="5"/>
      <c r="V118" s="13">
        <f>IF(T$12=0,0,T118/T$12)</f>
        <v>0.1230142600310894</v>
      </c>
      <c r="W118" s="5"/>
      <c r="X118" s="5">
        <f>+P118-T118</f>
        <v>-74886.709999999992</v>
      </c>
      <c r="Y118" s="5"/>
      <c r="Z118" s="13">
        <f>IF(T118=0,0,X118/T118)</f>
        <v>-0.26837940315303205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3">
      <c r="A120" s="11"/>
      <c r="B120" s="27" t="s">
        <v>294</v>
      </c>
      <c r="C120" s="27"/>
      <c r="D120" s="29">
        <f>+D116-D118</f>
        <v>-77365.620000000068</v>
      </c>
      <c r="E120" s="15"/>
      <c r="F120" s="30">
        <f>IF(D$12=0,0,D120/D$12)</f>
        <v>-0.1916105492371516</v>
      </c>
      <c r="G120" s="15"/>
      <c r="H120" s="29">
        <f>+H116-H118</f>
        <v>-14547.527177292512</v>
      </c>
      <c r="I120" s="15"/>
      <c r="J120" s="30">
        <f>IF(H$12=0,0,H120/H$12)</f>
        <v>-3.0930534109724281E-2</v>
      </c>
      <c r="K120" s="17"/>
      <c r="L120" s="29">
        <f>D120-H120</f>
        <v>-62818.092822707556</v>
      </c>
      <c r="M120" s="17"/>
      <c r="N120" s="30">
        <f>IF(H120=0,0,L120/H120)</f>
        <v>4.3181285765708282</v>
      </c>
      <c r="O120" s="28"/>
      <c r="P120" s="29">
        <f>+P116-P118</f>
        <v>-1153647.6400000001</v>
      </c>
      <c r="Q120" s="15"/>
      <c r="R120" s="30">
        <f>IF(P$12=0,0,P120/P$12)</f>
        <v>-0.64017661308327789</v>
      </c>
      <c r="S120" s="15"/>
      <c r="T120" s="29">
        <f>+T116-T118</f>
        <v>-984521.83622107585</v>
      </c>
      <c r="U120" s="15"/>
      <c r="V120" s="30">
        <f>IF(T$12=0,0,T120/T$12)</f>
        <v>-0.4340354910250222</v>
      </c>
      <c r="W120" s="17"/>
      <c r="X120" s="29">
        <f>P120-T120</f>
        <v>-169125.80377892428</v>
      </c>
      <c r="Y120" s="17"/>
      <c r="Z120" s="30">
        <f>IF(T120=0,0,X120/T120)</f>
        <v>0.17178471574392468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3" customFormat="1" ht="15" customHeight="1" x14ac:dyDescent="0.3">
      <c r="A123" s="11"/>
      <c r="B123" s="27" t="s">
        <v>297</v>
      </c>
      <c r="C123" s="27"/>
      <c r="D123" s="32">
        <f>SUM(D120:D122)</f>
        <v>-77365.620000000068</v>
      </c>
      <c r="E123" s="15"/>
      <c r="F123" s="34">
        <f>IF(D$12=0,0,D123/D$12)</f>
        <v>-0.1916105492371516</v>
      </c>
      <c r="G123" s="15"/>
      <c r="H123" s="32">
        <f>SUM(H120:H122)</f>
        <v>-14547.527177292512</v>
      </c>
      <c r="I123" s="15"/>
      <c r="J123" s="34">
        <f>IF(H$12=0,0,H123/H$12)</f>
        <v>-3.0930534109724281E-2</v>
      </c>
      <c r="K123" s="17"/>
      <c r="L123" s="32">
        <f>+D123-H123</f>
        <v>-62818.092822707556</v>
      </c>
      <c r="M123" s="17"/>
      <c r="N123" s="34">
        <f>IF(H123=0,0,L123/H123)</f>
        <v>4.3181285765708282</v>
      </c>
      <c r="O123" s="28"/>
      <c r="P123" s="32">
        <f>SUM(P120:P122)</f>
        <v>-1153647.6400000001</v>
      </c>
      <c r="Q123" s="15"/>
      <c r="R123" s="34">
        <f>IF(P$12=0,0,P123/P$12)</f>
        <v>-0.64017661308327789</v>
      </c>
      <c r="S123" s="15"/>
      <c r="T123" s="32">
        <f>SUM(T120:T122)</f>
        <v>-984521.83622107585</v>
      </c>
      <c r="U123" s="15"/>
      <c r="V123" s="34">
        <f>IF(T$12=0,0,T123/T$12)</f>
        <v>-0.4340354910250222</v>
      </c>
      <c r="W123" s="17"/>
      <c r="X123" s="32">
        <f>+P123-T123</f>
        <v>-169125.80377892428</v>
      </c>
      <c r="Y123" s="17"/>
      <c r="Z123" s="34">
        <f>IF(T123=0,0,X123/T123)</f>
        <v>0.17178471574392468</v>
      </c>
    </row>
    <row r="124" spans="1:26" ht="15" customHeight="1" x14ac:dyDescent="0.3">
      <c r="A124" s="10"/>
      <c r="C124" s="10"/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  <row r="125" spans="1:26" ht="15" customHeight="1" x14ac:dyDescent="0.3">
      <c r="A125" s="10"/>
      <c r="B125" s="56">
        <v>44694.888518020831</v>
      </c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A126" s="10"/>
      <c r="B126" s="50" t="s">
        <v>298</v>
      </c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  <row r="127" spans="1:26" ht="15" customHeight="1" x14ac:dyDescent="0.3">
      <c r="A127" s="10"/>
      <c r="B127" s="51"/>
      <c r="D127" s="19"/>
      <c r="E127" s="19"/>
      <c r="G127" s="19"/>
      <c r="H127" s="19"/>
      <c r="I127" s="19"/>
      <c r="J127" s="40"/>
      <c r="K127" s="19"/>
      <c r="L127" s="19"/>
      <c r="M127" s="19"/>
      <c r="P127" s="19"/>
      <c r="Q127" s="19"/>
      <c r="R127" s="40"/>
      <c r="S127" s="19"/>
      <c r="T127" s="19"/>
      <c r="U127" s="19"/>
      <c r="V127" s="40"/>
      <c r="W127" s="19"/>
      <c r="X127" s="19"/>
    </row>
    <row r="128" spans="1:26" ht="15" customHeight="1" x14ac:dyDescent="0.3">
      <c r="D128" s="19"/>
      <c r="E128" s="19"/>
      <c r="G128" s="19"/>
      <c r="H128" s="19"/>
      <c r="I128" s="19"/>
      <c r="J128" s="40"/>
      <c r="K128" s="19"/>
      <c r="L128" s="19"/>
      <c r="M128" s="19"/>
      <c r="P128" s="19"/>
      <c r="Q128" s="19"/>
      <c r="R128" s="40"/>
      <c r="S128" s="19"/>
      <c r="T128" s="19"/>
      <c r="U128" s="19"/>
      <c r="V128" s="40"/>
      <c r="W128" s="19"/>
      <c r="X12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E1F04-B502-F2FB-E04E-2376D0D327DE}">
  <sheetPr>
    <tabColor rgb="FFFFFF00"/>
    <outlinePr summaryBelow="0" summaryRight="0"/>
  </sheetPr>
  <dimension ref="A2:Z12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312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300260.02</v>
      </c>
      <c r="E12" s="5"/>
      <c r="F12" s="13"/>
      <c r="G12" s="5"/>
      <c r="H12" s="5">
        <f>SUM(OSRRefH13x_0)</f>
        <v>386250</v>
      </c>
      <c r="I12" s="5"/>
      <c r="J12" s="13"/>
      <c r="K12" s="5"/>
      <c r="L12" s="5">
        <f t="shared" ref="L12:L17" si="0">+D12-H12</f>
        <v>-85989.979999999981</v>
      </c>
      <c r="M12" s="5"/>
      <c r="N12" s="13">
        <f t="shared" ref="N12:N17" si="1">IF(H12=0,0,L12/H12)</f>
        <v>-0.22262777993527502</v>
      </c>
      <c r="O12" s="11"/>
      <c r="P12" s="5">
        <f>SUM(OSRRefP13x_0)</f>
        <v>1390532.5</v>
      </c>
      <c r="Q12" s="5"/>
      <c r="R12" s="13"/>
      <c r="S12" s="5"/>
      <c r="T12" s="5">
        <f>SUM(OSRRefT13x_0)</f>
        <v>1806184</v>
      </c>
      <c r="U12" s="5"/>
      <c r="V12" s="13"/>
      <c r="W12" s="5"/>
      <c r="X12" s="5">
        <f t="shared" ref="X12:X17" si="2">+P12-T12</f>
        <v>-415651.5</v>
      </c>
      <c r="Y12" s="5"/>
      <c r="Z12" s="13">
        <f t="shared" ref="Z12:Z17" si="3">IF(T12=0,0,X12/T12)</f>
        <v>-0.23012688629729861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171644</v>
      </c>
      <c r="I13" s="3"/>
      <c r="J13" s="20"/>
      <c r="K13" s="3"/>
      <c r="L13" s="3">
        <f t="shared" si="0"/>
        <v>-171644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724279</v>
      </c>
      <c r="U13" s="3"/>
      <c r="V13" s="20"/>
      <c r="W13" s="3"/>
      <c r="X13" s="3">
        <f t="shared" si="2"/>
        <v>-724279</v>
      </c>
      <c r="Y13" s="3"/>
      <c r="Z13" s="20">
        <f t="shared" si="3"/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--55113.37</f>
        <v>55113.37</v>
      </c>
      <c r="E14" s="3"/>
      <c r="F14" s="20"/>
      <c r="G14" s="3"/>
      <c r="H14" s="3"/>
      <c r="I14" s="3"/>
      <c r="J14" s="20"/>
      <c r="K14" s="3"/>
      <c r="L14" s="3">
        <f t="shared" si="0"/>
        <v>55113.37</v>
      </c>
      <c r="M14" s="3"/>
      <c r="N14" s="20">
        <f t="shared" si="1"/>
        <v>0</v>
      </c>
      <c r="O14" s="12"/>
      <c r="P14" s="3">
        <f>--318908.25</f>
        <v>318908.25</v>
      </c>
      <c r="Q14" s="3"/>
      <c r="R14" s="20"/>
      <c r="S14" s="3"/>
      <c r="T14" s="3"/>
      <c r="U14" s="3"/>
      <c r="V14" s="20"/>
      <c r="W14" s="3"/>
      <c r="X14" s="3">
        <f t="shared" si="2"/>
        <v>318908.25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--7381.41</f>
        <v>7381.41</v>
      </c>
      <c r="E15" s="3"/>
      <c r="F15" s="20"/>
      <c r="G15" s="3"/>
      <c r="H15" s="3"/>
      <c r="I15" s="3"/>
      <c r="J15" s="20"/>
      <c r="K15" s="3"/>
      <c r="L15" s="3">
        <f t="shared" si="0"/>
        <v>7381.41</v>
      </c>
      <c r="M15" s="3"/>
      <c r="N15" s="20">
        <f t="shared" si="1"/>
        <v>0</v>
      </c>
      <c r="O15" s="12"/>
      <c r="P15" s="3">
        <f>--24251.84</f>
        <v>24251.84</v>
      </c>
      <c r="Q15" s="3"/>
      <c r="R15" s="20"/>
      <c r="S15" s="3"/>
      <c r="T15" s="3"/>
      <c r="U15" s="3"/>
      <c r="V15" s="20"/>
      <c r="W15" s="3"/>
      <c r="X15" s="3">
        <f t="shared" si="2"/>
        <v>24251.84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0</f>
        <v>0</v>
      </c>
      <c r="E16" s="3"/>
      <c r="F16" s="20"/>
      <c r="G16" s="3"/>
      <c r="H16" s="3">
        <v>214606</v>
      </c>
      <c r="I16" s="3"/>
      <c r="J16" s="20"/>
      <c r="K16" s="3"/>
      <c r="L16" s="3">
        <f t="shared" si="0"/>
        <v>-214606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v>1081905</v>
      </c>
      <c r="U16" s="3"/>
      <c r="V16" s="20"/>
      <c r="W16" s="3"/>
      <c r="X16" s="3">
        <f t="shared" si="2"/>
        <v>-1081905</v>
      </c>
      <c r="Y16" s="3"/>
      <c r="Z16" s="20">
        <f t="shared" si="3"/>
        <v>-1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--237765.24</f>
        <v>237765.24</v>
      </c>
      <c r="E17" s="3"/>
      <c r="F17" s="20"/>
      <c r="G17" s="3"/>
      <c r="H17" s="3"/>
      <c r="I17" s="3"/>
      <c r="J17" s="20"/>
      <c r="K17" s="3"/>
      <c r="L17" s="3">
        <f t="shared" si="0"/>
        <v>237765.24</v>
      </c>
      <c r="M17" s="3"/>
      <c r="N17" s="20">
        <f t="shared" si="1"/>
        <v>0</v>
      </c>
      <c r="O17" s="12"/>
      <c r="P17" s="3">
        <f>--1047372.41</f>
        <v>1047372.41</v>
      </c>
      <c r="Q17" s="3"/>
      <c r="R17" s="20"/>
      <c r="S17" s="3"/>
      <c r="T17" s="3"/>
      <c r="U17" s="3"/>
      <c r="V17" s="20"/>
      <c r="W17" s="3"/>
      <c r="X17" s="3">
        <f t="shared" si="2"/>
        <v>1047372.41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94773.03</v>
      </c>
      <c r="E19" s="5"/>
      <c r="F19" s="13">
        <f>IF(D$12=0,0,D19/D$12)</f>
        <v>0.31563652730057101</v>
      </c>
      <c r="G19" s="5"/>
      <c r="H19" s="5">
        <f>SUM(OSRRefH16x_0)</f>
        <v>133455</v>
      </c>
      <c r="I19" s="5"/>
      <c r="J19" s="13">
        <f>IF(H$12=0,0,H19/H$12)</f>
        <v>0.34551456310679612</v>
      </c>
      <c r="K19" s="5"/>
      <c r="L19" s="5">
        <f>+D19-H19</f>
        <v>-38681.97</v>
      </c>
      <c r="M19" s="5"/>
      <c r="N19" s="13">
        <f>IF(H19=0,0,L19/H19)</f>
        <v>-0.28985028661346524</v>
      </c>
      <c r="O19" s="11"/>
      <c r="P19" s="5">
        <f>SUM(OSRRefP16x_0)</f>
        <v>517317.63</v>
      </c>
      <c r="Q19" s="5"/>
      <c r="R19" s="13">
        <f>IF(P$12=0,0,P19/P$12)</f>
        <v>0.37202843514984368</v>
      </c>
      <c r="S19" s="5"/>
      <c r="T19" s="5">
        <f>SUM(OSRRefT16x_0)</f>
        <v>619734</v>
      </c>
      <c r="U19" s="5"/>
      <c r="V19" s="13">
        <f>IF(T$12=0,0,T19/T$12)</f>
        <v>0.3431178661753177</v>
      </c>
      <c r="W19" s="5"/>
      <c r="X19" s="5">
        <f>+P19-T19</f>
        <v>-102416.37</v>
      </c>
      <c r="Y19" s="5"/>
      <c r="Z19" s="13">
        <f>IF(T19=0,0,X19/T19)</f>
        <v>-0.16525859481648578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133455</v>
      </c>
      <c r="I20" s="3"/>
      <c r="J20" s="20">
        <f>IF(H$12=0,0,H20/H$12)</f>
        <v>0.34551456310679612</v>
      </c>
      <c r="K20" s="3"/>
      <c r="L20" s="3">
        <f>+D20-H20</f>
        <v>-133455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619734</v>
      </c>
      <c r="U20" s="3"/>
      <c r="V20" s="20">
        <f>IF(T$12=0,0,T20/T$12)</f>
        <v>0.3431178661753177</v>
      </c>
      <c r="W20" s="3"/>
      <c r="X20" s="3">
        <f>+P20-T20</f>
        <v>-619734</v>
      </c>
      <c r="Y20" s="3"/>
      <c r="Z20" s="20">
        <f>IF(T20=0,0,X20/T20)</f>
        <v>-1</v>
      </c>
    </row>
    <row r="21" spans="1:26" s="70" customFormat="1" ht="15" hidden="1" customHeight="1" outlineLevel="1" x14ac:dyDescent="0.3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75721.899999999994</v>
      </c>
      <c r="E21" s="3"/>
      <c r="F21" s="20">
        <f>IF(D$12=0,0,D21/D$12)</f>
        <v>0.25218775380085562</v>
      </c>
      <c r="G21" s="3"/>
      <c r="H21" s="3"/>
      <c r="I21" s="3"/>
      <c r="J21" s="20">
        <f>IF(H$12=0,0,H21/H$12)</f>
        <v>0</v>
      </c>
      <c r="K21" s="3"/>
      <c r="L21" s="3">
        <f>+D21-H21</f>
        <v>75721.899999999994</v>
      </c>
      <c r="M21" s="3"/>
      <c r="N21" s="20">
        <f>IF(H21=0,0,L21/H21)</f>
        <v>0</v>
      </c>
      <c r="O21" s="12"/>
      <c r="P21" s="3">
        <v>451215.26</v>
      </c>
      <c r="Q21" s="3"/>
      <c r="R21" s="20">
        <f>IF(P$12=0,0,P21/P$12)</f>
        <v>0.32449098456886122</v>
      </c>
      <c r="S21" s="3"/>
      <c r="T21" s="3"/>
      <c r="U21" s="3"/>
      <c r="V21" s="20">
        <f>IF(T$12=0,0,T21/T$12)</f>
        <v>0</v>
      </c>
      <c r="W21" s="3"/>
      <c r="X21" s="3">
        <f>+P21-T21</f>
        <v>451215.26</v>
      </c>
      <c r="Y21" s="3"/>
      <c r="Z21" s="20">
        <f>IF(T21=0,0,X21/T21)</f>
        <v>0</v>
      </c>
    </row>
    <row r="22" spans="1:26" s="70" customFormat="1" ht="15" hidden="1" customHeight="1" outlineLevel="1" x14ac:dyDescent="0.3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19051.13</v>
      </c>
      <c r="E22" s="3"/>
      <c r="F22" s="20">
        <f>IF(D$12=0,0,D22/D$12)</f>
        <v>6.3448773499715352E-2</v>
      </c>
      <c r="G22" s="3"/>
      <c r="H22" s="3"/>
      <c r="I22" s="3"/>
      <c r="J22" s="20">
        <f>IF(H$12=0,0,H22/H$12)</f>
        <v>0</v>
      </c>
      <c r="K22" s="3"/>
      <c r="L22" s="3">
        <f>+D22-H22</f>
        <v>19051.13</v>
      </c>
      <c r="M22" s="3"/>
      <c r="N22" s="20">
        <f>IF(H22=0,0,L22/H22)</f>
        <v>0</v>
      </c>
      <c r="O22" s="12"/>
      <c r="P22" s="3">
        <v>66102.37</v>
      </c>
      <c r="Q22" s="3"/>
      <c r="R22" s="20">
        <f>IF(P$12=0,0,P22/P$12)</f>
        <v>4.7537450580982465E-2</v>
      </c>
      <c r="S22" s="3"/>
      <c r="T22" s="3"/>
      <c r="U22" s="3"/>
      <c r="V22" s="20">
        <f>IF(T$12=0,0,T22/T$12)</f>
        <v>0</v>
      </c>
      <c r="W22" s="3"/>
      <c r="X22" s="3">
        <f>+P22-T22</f>
        <v>66102.37</v>
      </c>
      <c r="Y22" s="3"/>
      <c r="Z22" s="20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7" t="s">
        <v>289</v>
      </c>
      <c r="C24" s="27"/>
      <c r="D24" s="21">
        <f>D12-D19</f>
        <v>205486.99000000002</v>
      </c>
      <c r="E24" s="15"/>
      <c r="F24" s="23">
        <f>IF(D$12=0,0,D24/D$12)</f>
        <v>0.68436347269942899</v>
      </c>
      <c r="G24" s="15"/>
      <c r="H24" s="21">
        <f>H12-H19</f>
        <v>252795</v>
      </c>
      <c r="I24" s="15"/>
      <c r="J24" s="23">
        <f>IF(H$12=0,0,H24/H$12)</f>
        <v>0.65448543689320393</v>
      </c>
      <c r="K24" s="17"/>
      <c r="L24" s="21">
        <f>+D24-H24</f>
        <v>-47308.00999999998</v>
      </c>
      <c r="M24" s="17"/>
      <c r="N24" s="23">
        <f>IF(H24=0,0,L24/H24)</f>
        <v>-0.18713981684764328</v>
      </c>
      <c r="O24" s="28"/>
      <c r="P24" s="21">
        <f>P12-P19</f>
        <v>873214.87</v>
      </c>
      <c r="Q24" s="15"/>
      <c r="R24" s="23">
        <f>IF(P$12=0,0,P24/P$12)</f>
        <v>0.62797156485015637</v>
      </c>
      <c r="S24" s="15"/>
      <c r="T24" s="21">
        <f>T12-T19</f>
        <v>1186450</v>
      </c>
      <c r="U24" s="15"/>
      <c r="V24" s="23">
        <f>IF(T$12=0,0,T24/T$12)</f>
        <v>0.6568821338246823</v>
      </c>
      <c r="W24" s="17"/>
      <c r="X24" s="21">
        <f>+P24-T24</f>
        <v>-313235.13</v>
      </c>
      <c r="Y24" s="17"/>
      <c r="Z24" s="23">
        <f>IF(T24=0,0,X24/T24)</f>
        <v>-0.26401039234691726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290</v>
      </c>
      <c r="C26" s="11"/>
      <c r="D26" s="22" cm="1">
        <f t="array" ref="D26">SUM(OSRRefD22x_0)</f>
        <v>244929.50999999998</v>
      </c>
      <c r="E26" s="22"/>
      <c r="F26" s="33">
        <f t="shared" ref="F26:F57" si="4">IF(D$12=0,0,D26/D$12)</f>
        <v>0.81572468422535893</v>
      </c>
      <c r="G26" s="22"/>
      <c r="H26" s="22" cm="1">
        <f t="array" ref="H26">SUM(OSRRefH22x_0)</f>
        <v>232555.678574158</v>
      </c>
      <c r="I26" s="22"/>
      <c r="J26" s="33">
        <f t="shared" ref="J26:J57" si="5">IF(H$12=0,0,H26/H$12)</f>
        <v>0.60208589922112099</v>
      </c>
      <c r="K26" s="5"/>
      <c r="L26" s="22">
        <f t="shared" ref="L26:L57" si="6">+D26-H26</f>
        <v>12373.831425841985</v>
      </c>
      <c r="M26" s="5"/>
      <c r="N26" s="33">
        <f t="shared" ref="N26:N57" si="7">IF(H26=0,0,L26/H26)</f>
        <v>5.3208038185557284E-2</v>
      </c>
      <c r="O26" s="11"/>
      <c r="P26" s="22" cm="1">
        <f t="array" ref="P26">SUM(OSRRefP22x_0)</f>
        <v>1893480.4500000002</v>
      </c>
      <c r="Q26" s="22"/>
      <c r="R26" s="33">
        <f t="shared" ref="R26:R57" si="8">IF(P$12=0,0,P26/P$12)</f>
        <v>1.3616944947349308</v>
      </c>
      <c r="S26" s="22"/>
      <c r="T26" s="22" cm="1">
        <f t="array" ref="T26">SUM(OSRRefT22x_0)</f>
        <v>1887009.398861941</v>
      </c>
      <c r="U26" s="22"/>
      <c r="V26" s="33">
        <f t="shared" ref="V26:V57" si="9">IF(T$12=0,0,T26/T$12)</f>
        <v>1.0447492607962094</v>
      </c>
      <c r="W26" s="5"/>
      <c r="X26" s="22">
        <f t="shared" ref="X26:X57" si="10">+P26-T26</f>
        <v>6471.0511380592361</v>
      </c>
      <c r="Y26" s="5"/>
      <c r="Z26" s="33">
        <f t="shared" ref="Z26:Z57" si="11">IF(T26=0,0,X26/T26)</f>
        <v>3.4292628017443577E-3</v>
      </c>
    </row>
    <row r="27" spans="1:26" s="69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33726.42</v>
      </c>
      <c r="E27" s="2"/>
      <c r="F27" s="6">
        <f t="shared" si="4"/>
        <v>0.1123240450060584</v>
      </c>
      <c r="G27" s="2"/>
      <c r="H27" s="2">
        <f>SUM(OSRRefH22_0x_0)</f>
        <v>35753.593809157959</v>
      </c>
      <c r="I27" s="2"/>
      <c r="J27" s="6">
        <f t="shared" si="5"/>
        <v>9.2565938664486619E-2</v>
      </c>
      <c r="K27" s="2"/>
      <c r="L27" s="2">
        <f t="shared" si="6"/>
        <v>-2027.1738091579609</v>
      </c>
      <c r="M27" s="2"/>
      <c r="N27" s="6">
        <f t="shared" si="7"/>
        <v>-5.669846281686846E-2</v>
      </c>
      <c r="O27" s="14"/>
      <c r="P27" s="2">
        <f>SUM(OSRRefP22_0x_0)</f>
        <v>309502.53000000003</v>
      </c>
      <c r="Q27" s="2"/>
      <c r="R27" s="6">
        <f t="shared" si="8"/>
        <v>0.22257842229505606</v>
      </c>
      <c r="S27" s="2"/>
      <c r="T27" s="2">
        <f>SUM(OSRRefT22_0x_0)</f>
        <v>294418.63968194101</v>
      </c>
      <c r="U27" s="2"/>
      <c r="V27" s="6">
        <f t="shared" si="9"/>
        <v>0.16300589512582384</v>
      </c>
      <c r="W27" s="2"/>
      <c r="X27" s="2">
        <f t="shared" si="10"/>
        <v>15083.890318059013</v>
      </c>
      <c r="Y27" s="2"/>
      <c r="Z27" s="6">
        <f t="shared" si="11"/>
        <v>5.1232796722225415E-2</v>
      </c>
    </row>
    <row r="28" spans="1:26" s="70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7">
        <v>7281.06</v>
      </c>
      <c r="E28" s="3"/>
      <c r="F28" s="8">
        <f t="shared" si="4"/>
        <v>2.4249182425285922E-2</v>
      </c>
      <c r="G28" s="3"/>
      <c r="H28" s="7">
        <v>4726.7787873117804</v>
      </c>
      <c r="I28" s="3"/>
      <c r="J28" s="8">
        <f t="shared" si="5"/>
        <v>1.2237614983331471E-2</v>
      </c>
      <c r="K28" s="3"/>
      <c r="L28" s="7">
        <f t="shared" si="6"/>
        <v>2554.28121268822</v>
      </c>
      <c r="M28" s="3"/>
      <c r="N28" s="8">
        <f t="shared" si="7"/>
        <v>0.54038518145692493</v>
      </c>
      <c r="O28" s="12"/>
      <c r="P28" s="7">
        <v>47040.62</v>
      </c>
      <c r="Q28" s="3"/>
      <c r="R28" s="8">
        <f t="shared" si="8"/>
        <v>3.382921290944297E-2</v>
      </c>
      <c r="S28" s="3"/>
      <c r="T28" s="7">
        <v>37819.543484402799</v>
      </c>
      <c r="U28" s="3"/>
      <c r="V28" s="8">
        <f t="shared" si="9"/>
        <v>2.0938920666113085E-2</v>
      </c>
      <c r="W28" s="3"/>
      <c r="X28" s="7">
        <f t="shared" si="10"/>
        <v>9221.076515597204</v>
      </c>
      <c r="Y28" s="3"/>
      <c r="Z28" s="8">
        <f t="shared" si="11"/>
        <v>0.24381776367554725</v>
      </c>
    </row>
    <row r="29" spans="1:26" s="70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7">
        <v>2883.13</v>
      </c>
      <c r="E29" s="3"/>
      <c r="F29" s="8">
        <f t="shared" si="4"/>
        <v>9.6021108637773349E-3</v>
      </c>
      <c r="G29" s="3"/>
      <c r="H29" s="7">
        <v>4114.6744026761598</v>
      </c>
      <c r="I29" s="3"/>
      <c r="J29" s="8">
        <f t="shared" si="5"/>
        <v>1.0652878712430187E-2</v>
      </c>
      <c r="K29" s="3"/>
      <c r="L29" s="7">
        <f t="shared" si="6"/>
        <v>-1231.5444026761597</v>
      </c>
      <c r="M29" s="3"/>
      <c r="N29" s="8">
        <f t="shared" si="7"/>
        <v>-0.29930543273974985</v>
      </c>
      <c r="O29" s="12"/>
      <c r="P29" s="7">
        <v>21885.58</v>
      </c>
      <c r="Q29" s="3"/>
      <c r="R29" s="8">
        <f t="shared" si="8"/>
        <v>1.5738992076776342E-2</v>
      </c>
      <c r="S29" s="3"/>
      <c r="T29" s="7">
        <v>29196.480333806201</v>
      </c>
      <c r="U29" s="3"/>
      <c r="V29" s="8">
        <f t="shared" si="9"/>
        <v>1.6164732017228699E-2</v>
      </c>
      <c r="W29" s="3"/>
      <c r="X29" s="7">
        <f t="shared" si="10"/>
        <v>-7310.9003338061993</v>
      </c>
      <c r="Y29" s="3"/>
      <c r="Z29" s="8">
        <f t="shared" si="11"/>
        <v>-0.25040348186562095</v>
      </c>
    </row>
    <row r="30" spans="1:26" s="70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7">
        <v>10058.31</v>
      </c>
      <c r="E30" s="3"/>
      <c r="F30" s="8">
        <f t="shared" si="4"/>
        <v>3.3498665589911034E-2</v>
      </c>
      <c r="G30" s="3"/>
      <c r="H30" s="7">
        <v>15708</v>
      </c>
      <c r="I30" s="3"/>
      <c r="J30" s="8">
        <f t="shared" si="5"/>
        <v>4.0667961165048547E-2</v>
      </c>
      <c r="K30" s="3"/>
      <c r="L30" s="7">
        <f t="shared" si="6"/>
        <v>-5649.6900000000005</v>
      </c>
      <c r="M30" s="3"/>
      <c r="N30" s="8">
        <f t="shared" si="7"/>
        <v>-0.35966959511077162</v>
      </c>
      <c r="O30" s="12"/>
      <c r="P30" s="7">
        <v>120631.31</v>
      </c>
      <c r="Q30" s="3"/>
      <c r="R30" s="8">
        <f t="shared" si="8"/>
        <v>8.6751881023996197E-2</v>
      </c>
      <c r="S30" s="3"/>
      <c r="T30" s="7">
        <v>137267.042307692</v>
      </c>
      <c r="U30" s="3"/>
      <c r="V30" s="8">
        <f t="shared" si="9"/>
        <v>7.5998371321909619E-2</v>
      </c>
      <c r="W30" s="3"/>
      <c r="X30" s="7">
        <f t="shared" si="10"/>
        <v>-16635.732307692</v>
      </c>
      <c r="Y30" s="3"/>
      <c r="Z30" s="8">
        <f t="shared" si="11"/>
        <v>-0.12119247292006224</v>
      </c>
    </row>
    <row r="31" spans="1:26" s="70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7">
        <v>238.35</v>
      </c>
      <c r="E31" s="3"/>
      <c r="F31" s="8">
        <f t="shared" si="4"/>
        <v>7.9381197669939536E-4</v>
      </c>
      <c r="G31" s="3"/>
      <c r="H31" s="7">
        <v>227.989874554615</v>
      </c>
      <c r="I31" s="3"/>
      <c r="J31" s="8">
        <f t="shared" si="5"/>
        <v>5.9026504739058904E-4</v>
      </c>
      <c r="K31" s="3"/>
      <c r="L31" s="7">
        <f t="shared" si="6"/>
        <v>10.360125445384995</v>
      </c>
      <c r="M31" s="3"/>
      <c r="N31" s="8">
        <f t="shared" si="7"/>
        <v>4.5441164725511636E-2</v>
      </c>
      <c r="O31" s="12"/>
      <c r="P31" s="7">
        <v>1892.72</v>
      </c>
      <c r="Q31" s="3"/>
      <c r="R31" s="8">
        <f t="shared" si="8"/>
        <v>1.3611476179089664E-3</v>
      </c>
      <c r="S31" s="3"/>
      <c r="T31" s="7">
        <v>1617.74693142462</v>
      </c>
      <c r="U31" s="3"/>
      <c r="V31" s="8">
        <f t="shared" si="9"/>
        <v>8.9567116718153859E-4</v>
      </c>
      <c r="W31" s="3"/>
      <c r="X31" s="7">
        <f t="shared" si="10"/>
        <v>274.97306857538001</v>
      </c>
      <c r="Y31" s="3"/>
      <c r="Z31" s="8">
        <f t="shared" si="11"/>
        <v>0.16997285745628538</v>
      </c>
    </row>
    <row r="32" spans="1:26" s="70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7">
        <v>4424.92</v>
      </c>
      <c r="E32" s="3"/>
      <c r="F32" s="8">
        <f t="shared" si="4"/>
        <v>1.4736960318593197E-2</v>
      </c>
      <c r="G32" s="3"/>
      <c r="H32" s="7">
        <v>3501.5529288461598</v>
      </c>
      <c r="I32" s="3"/>
      <c r="J32" s="8">
        <f t="shared" si="5"/>
        <v>9.065509200896207E-3</v>
      </c>
      <c r="K32" s="3"/>
      <c r="L32" s="7">
        <f t="shared" si="6"/>
        <v>923.36707115384024</v>
      </c>
      <c r="M32" s="3"/>
      <c r="N32" s="8">
        <f t="shared" si="7"/>
        <v>0.26370216013216469</v>
      </c>
      <c r="O32" s="12"/>
      <c r="P32" s="7">
        <v>34867.57</v>
      </c>
      <c r="Q32" s="3"/>
      <c r="R32" s="8">
        <f t="shared" si="8"/>
        <v>2.5074976672605637E-2</v>
      </c>
      <c r="S32" s="3"/>
      <c r="T32" s="7">
        <v>27872.878573846199</v>
      </c>
      <c r="U32" s="3"/>
      <c r="V32" s="8">
        <f t="shared" si="9"/>
        <v>1.5431915338551443E-2</v>
      </c>
      <c r="W32" s="3"/>
      <c r="X32" s="7">
        <f t="shared" si="10"/>
        <v>6994.6914261538004</v>
      </c>
      <c r="Y32" s="3"/>
      <c r="Z32" s="8">
        <f t="shared" si="11"/>
        <v>0.25094973264501963</v>
      </c>
    </row>
    <row r="33" spans="1:26" s="70" customFormat="1" ht="15" hidden="1" customHeight="1" outlineLevel="2" x14ac:dyDescent="0.3">
      <c r="A33" s="26"/>
      <c r="B33" s="12" t="str">
        <f>CONCATENATE("          ","6116"," - ","EDUCATIONAL BENEFITS")</f>
        <v xml:space="preserve">          6116 - EDUCATIONAL BENEFITS</v>
      </c>
      <c r="C33" s="12"/>
      <c r="D33" s="7"/>
      <c r="E33" s="3"/>
      <c r="F33" s="8">
        <f t="shared" si="4"/>
        <v>0</v>
      </c>
      <c r="G33" s="3"/>
      <c r="H33" s="7">
        <v>0</v>
      </c>
      <c r="I33" s="3"/>
      <c r="J33" s="8">
        <f t="shared" si="5"/>
        <v>0</v>
      </c>
      <c r="K33" s="3"/>
      <c r="L33" s="7">
        <f t="shared" si="6"/>
        <v>0</v>
      </c>
      <c r="M33" s="3"/>
      <c r="N33" s="8">
        <f t="shared" si="7"/>
        <v>0</v>
      </c>
      <c r="O33" s="12"/>
      <c r="P33" s="7"/>
      <c r="Q33" s="3"/>
      <c r="R33" s="8">
        <f t="shared" si="8"/>
        <v>0</v>
      </c>
      <c r="S33" s="3"/>
      <c r="T33" s="7">
        <v>0</v>
      </c>
      <c r="U33" s="3"/>
      <c r="V33" s="8">
        <f t="shared" si="9"/>
        <v>0</v>
      </c>
      <c r="W33" s="3"/>
      <c r="X33" s="7">
        <f t="shared" si="10"/>
        <v>0</v>
      </c>
      <c r="Y33" s="3"/>
      <c r="Z33" s="8">
        <f t="shared" si="11"/>
        <v>0</v>
      </c>
    </row>
    <row r="34" spans="1:26" s="70" customFormat="1" ht="15" hidden="1" customHeight="1" outlineLevel="2" x14ac:dyDescent="0.3">
      <c r="A34" s="26"/>
      <c r="B34" s="12" t="str">
        <f>CONCATENATE("          ","6117"," - ","RETIREMENT STAFF HOURLY")</f>
        <v xml:space="preserve">          6117 - RETIREMENT STAFF HOURLY</v>
      </c>
      <c r="C34" s="12"/>
      <c r="D34" s="7">
        <v>56.4</v>
      </c>
      <c r="E34" s="3"/>
      <c r="F34" s="8">
        <f t="shared" si="4"/>
        <v>1.8783719524164422E-4</v>
      </c>
      <c r="G34" s="3"/>
      <c r="H34" s="7"/>
      <c r="I34" s="3"/>
      <c r="J34" s="8">
        <f t="shared" si="5"/>
        <v>0</v>
      </c>
      <c r="K34" s="3"/>
      <c r="L34" s="7">
        <f t="shared" si="6"/>
        <v>56.4</v>
      </c>
      <c r="M34" s="3"/>
      <c r="N34" s="8">
        <f t="shared" si="7"/>
        <v>0</v>
      </c>
      <c r="O34" s="12"/>
      <c r="P34" s="7">
        <v>192.92</v>
      </c>
      <c r="Q34" s="3"/>
      <c r="R34" s="8">
        <f t="shared" si="8"/>
        <v>1.3873821719377288E-4</v>
      </c>
      <c r="S34" s="3"/>
      <c r="T34" s="7"/>
      <c r="U34" s="3"/>
      <c r="V34" s="8">
        <f t="shared" si="9"/>
        <v>0</v>
      </c>
      <c r="W34" s="3"/>
      <c r="X34" s="7">
        <f t="shared" si="10"/>
        <v>192.92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","6118"," - ","VACATION")</f>
        <v xml:space="preserve">          6118 - VACATION</v>
      </c>
      <c r="C35" s="12"/>
      <c r="D35" s="7">
        <v>4146.3599999999997</v>
      </c>
      <c r="E35" s="3"/>
      <c r="F35" s="8">
        <f t="shared" si="4"/>
        <v>1.3809231079116026E-2</v>
      </c>
      <c r="G35" s="3"/>
      <c r="H35" s="7">
        <v>3037.74174638462</v>
      </c>
      <c r="I35" s="3"/>
      <c r="J35" s="8">
        <f t="shared" si="5"/>
        <v>7.8647035505103428E-3</v>
      </c>
      <c r="K35" s="3"/>
      <c r="L35" s="7">
        <f t="shared" si="6"/>
        <v>1108.6182536153797</v>
      </c>
      <c r="M35" s="3"/>
      <c r="N35" s="8">
        <f t="shared" si="7"/>
        <v>0.36494815760253679</v>
      </c>
      <c r="O35" s="12"/>
      <c r="P35" s="7">
        <v>36113.64</v>
      </c>
      <c r="Q35" s="3"/>
      <c r="R35" s="8">
        <f t="shared" si="8"/>
        <v>2.597108661609851E-2</v>
      </c>
      <c r="S35" s="3"/>
      <c r="T35" s="7">
        <v>25487.908587384602</v>
      </c>
      <c r="U35" s="3"/>
      <c r="V35" s="8">
        <f t="shared" si="9"/>
        <v>1.4111468481275773E-2</v>
      </c>
      <c r="W35" s="3"/>
      <c r="X35" s="7">
        <f t="shared" si="10"/>
        <v>10625.731412615398</v>
      </c>
      <c r="Y35" s="3"/>
      <c r="Z35" s="8">
        <f t="shared" si="11"/>
        <v>0.4168930289507814</v>
      </c>
    </row>
    <row r="36" spans="1:26" s="70" customFormat="1" ht="15" hidden="1" customHeight="1" outlineLevel="2" x14ac:dyDescent="0.3">
      <c r="A36" s="26"/>
      <c r="B36" s="12" t="str">
        <f>CONCATENATE("          ","6119"," - ","SICK LEAVE")</f>
        <v xml:space="preserve">          6119 - SICK LEAVE</v>
      </c>
      <c r="C36" s="12"/>
      <c r="D36" s="7">
        <v>3075.89</v>
      </c>
      <c r="E36" s="3"/>
      <c r="F36" s="8">
        <f t="shared" si="4"/>
        <v>1.0244087774323068E-2</v>
      </c>
      <c r="G36" s="3"/>
      <c r="H36" s="7">
        <v>2091.8560693846198</v>
      </c>
      <c r="I36" s="3"/>
      <c r="J36" s="8">
        <f t="shared" si="5"/>
        <v>5.415808593876038E-3</v>
      </c>
      <c r="K36" s="3"/>
      <c r="L36" s="7">
        <f t="shared" si="6"/>
        <v>984.03393061538009</v>
      </c>
      <c r="M36" s="3"/>
      <c r="N36" s="8">
        <f t="shared" si="7"/>
        <v>0.4704118725074915</v>
      </c>
      <c r="O36" s="12"/>
      <c r="P36" s="7">
        <v>31046.7</v>
      </c>
      <c r="Q36" s="3"/>
      <c r="R36" s="8">
        <f t="shared" si="8"/>
        <v>2.2327201989166021E-2</v>
      </c>
      <c r="S36" s="3"/>
      <c r="T36" s="7">
        <v>14387.039463384601</v>
      </c>
      <c r="U36" s="3"/>
      <c r="V36" s="8">
        <f t="shared" si="9"/>
        <v>7.9654340108120773E-3</v>
      </c>
      <c r="W36" s="3"/>
      <c r="X36" s="7">
        <f t="shared" si="10"/>
        <v>16659.6605366154</v>
      </c>
      <c r="Y36" s="3"/>
      <c r="Z36" s="8">
        <f t="shared" si="11"/>
        <v>1.1579630805222074</v>
      </c>
    </row>
    <row r="37" spans="1:26" s="70" customFormat="1" ht="15" hidden="1" customHeight="1" outlineLevel="2" x14ac:dyDescent="0.3">
      <c r="A37" s="26"/>
      <c r="B37" s="12" t="str">
        <f>CONCATENATE("          ","6156"," - ","EMPLOYEE MEALS")</f>
        <v xml:space="preserve">          6156 - EMPLOYEE MEALS</v>
      </c>
      <c r="C37" s="12"/>
      <c r="D37" s="7">
        <v>1562</v>
      </c>
      <c r="E37" s="3"/>
      <c r="F37" s="8">
        <f t="shared" si="4"/>
        <v>5.2021577831107852E-3</v>
      </c>
      <c r="G37" s="3"/>
      <c r="H37" s="7">
        <v>2345</v>
      </c>
      <c r="I37" s="3"/>
      <c r="J37" s="8">
        <f t="shared" si="5"/>
        <v>6.0711974110032362E-3</v>
      </c>
      <c r="K37" s="3"/>
      <c r="L37" s="7">
        <f t="shared" si="6"/>
        <v>-783</v>
      </c>
      <c r="M37" s="3"/>
      <c r="N37" s="8">
        <f t="shared" si="7"/>
        <v>-0.33390191897654586</v>
      </c>
      <c r="O37" s="12"/>
      <c r="P37" s="7">
        <v>15831.47</v>
      </c>
      <c r="Q37" s="3"/>
      <c r="R37" s="8">
        <f t="shared" si="8"/>
        <v>1.1385185171867611E-2</v>
      </c>
      <c r="S37" s="3"/>
      <c r="T37" s="7">
        <v>20770</v>
      </c>
      <c r="U37" s="3"/>
      <c r="V37" s="8">
        <f t="shared" si="9"/>
        <v>1.1499382122751613E-2</v>
      </c>
      <c r="W37" s="3"/>
      <c r="X37" s="7">
        <f t="shared" si="10"/>
        <v>-4938.5300000000007</v>
      </c>
      <c r="Y37" s="3"/>
      <c r="Z37" s="8">
        <f t="shared" si="11"/>
        <v>-0.23777226769378915</v>
      </c>
    </row>
    <row r="38" spans="1:26" s="69" customFormat="1" ht="15" customHeight="1" outlineLevel="1" collapsed="1" x14ac:dyDescent="0.3">
      <c r="A38" s="25"/>
      <c r="B38" s="14" t="str">
        <f>CONCATENATE("     ","*Payroll                                          ")</f>
        <v xml:space="preserve">     *Payroll                                          </v>
      </c>
      <c r="C38" s="14"/>
      <c r="D38" s="2">
        <f>SUM(OSRRefD22_1x_0)</f>
        <v>111230.56999999999</v>
      </c>
      <c r="E38" s="2"/>
      <c r="F38" s="6">
        <f t="shared" si="4"/>
        <v>0.37044748748101725</v>
      </c>
      <c r="G38" s="2"/>
      <c r="H38" s="2">
        <f>SUM(OSRRefH22_1x_0)</f>
        <v>103603.08476500001</v>
      </c>
      <c r="I38" s="2"/>
      <c r="J38" s="6">
        <f t="shared" si="5"/>
        <v>0.26822805117152104</v>
      </c>
      <c r="K38" s="2"/>
      <c r="L38" s="2">
        <f t="shared" si="6"/>
        <v>7627.4852349999856</v>
      </c>
      <c r="M38" s="2"/>
      <c r="N38" s="6">
        <f t="shared" si="7"/>
        <v>7.3622182701424357E-2</v>
      </c>
      <c r="O38" s="14"/>
      <c r="P38" s="2">
        <f>SUM(OSRRefP22_1x_0)</f>
        <v>737444.4</v>
      </c>
      <c r="Q38" s="2"/>
      <c r="R38" s="6">
        <f t="shared" si="8"/>
        <v>0.53033237267018207</v>
      </c>
      <c r="S38" s="2"/>
      <c r="T38" s="2">
        <f>SUM(OSRRefT22_1x_0)</f>
        <v>731384.75918000005</v>
      </c>
      <c r="U38" s="2"/>
      <c r="V38" s="6">
        <f t="shared" si="9"/>
        <v>0.40493369400902679</v>
      </c>
      <c r="W38" s="2"/>
      <c r="X38" s="2">
        <f t="shared" si="10"/>
        <v>6059.6408199999714</v>
      </c>
      <c r="Y38" s="2"/>
      <c r="Z38" s="6">
        <f t="shared" si="11"/>
        <v>8.2851614611081092E-3</v>
      </c>
    </row>
    <row r="39" spans="1:26" s="70" customFormat="1" ht="15" hidden="1" customHeight="1" outlineLevel="2" x14ac:dyDescent="0.3">
      <c r="A39" s="26"/>
      <c r="B39" s="12" t="str">
        <f>CONCATENATE("          ","6001"," - ","ADMINISTRATIVE SALARIES")</f>
        <v xml:space="preserve">          6001 - ADMINISTRATIVE SALARIES</v>
      </c>
      <c r="C39" s="12"/>
      <c r="D39" s="7">
        <v>12087.68</v>
      </c>
      <c r="E39" s="3"/>
      <c r="F39" s="8">
        <f t="shared" si="4"/>
        <v>4.0257374258484364E-2</v>
      </c>
      <c r="G39" s="3"/>
      <c r="H39" s="7">
        <v>12835.384615384601</v>
      </c>
      <c r="I39" s="3"/>
      <c r="J39" s="8">
        <f t="shared" si="5"/>
        <v>3.3230769230769196E-2</v>
      </c>
      <c r="K39" s="3"/>
      <c r="L39" s="7">
        <f t="shared" si="6"/>
        <v>-747.7046153846004</v>
      </c>
      <c r="M39" s="3"/>
      <c r="N39" s="8">
        <f t="shared" si="7"/>
        <v>-5.8253386072155196E-2</v>
      </c>
      <c r="O39" s="12"/>
      <c r="P39" s="7">
        <v>112796.03</v>
      </c>
      <c r="Q39" s="3"/>
      <c r="R39" s="8">
        <f t="shared" si="8"/>
        <v>8.1117147567568534E-2</v>
      </c>
      <c r="S39" s="3"/>
      <c r="T39" s="7">
        <v>112951.384615385</v>
      </c>
      <c r="U39" s="3"/>
      <c r="V39" s="8">
        <f t="shared" si="9"/>
        <v>6.2535923591054407E-2</v>
      </c>
      <c r="W39" s="3"/>
      <c r="X39" s="7">
        <f t="shared" si="10"/>
        <v>-155.35461538500385</v>
      </c>
      <c r="Y39" s="3"/>
      <c r="Z39" s="8">
        <f t="shared" si="11"/>
        <v>-1.3754113410296624E-3</v>
      </c>
    </row>
    <row r="40" spans="1:26" s="70" customFormat="1" ht="15" hidden="1" customHeight="1" outlineLevel="2" x14ac:dyDescent="0.3">
      <c r="A40" s="26"/>
      <c r="B40" s="12" t="str">
        <f>CONCATENATE("          ","6002"," - ","STAFF SALARIES")</f>
        <v xml:space="preserve">          6002 - STAFF SALARIES</v>
      </c>
      <c r="C40" s="12"/>
      <c r="D40" s="7">
        <v>25200</v>
      </c>
      <c r="E40" s="3"/>
      <c r="F40" s="8">
        <f t="shared" si="4"/>
        <v>8.392725744839423E-2</v>
      </c>
      <c r="G40" s="3"/>
      <c r="H40" s="7">
        <v>24735.329759615401</v>
      </c>
      <c r="I40" s="3"/>
      <c r="J40" s="8">
        <f t="shared" si="5"/>
        <v>6.4039688698033406E-2</v>
      </c>
      <c r="K40" s="3"/>
      <c r="L40" s="7">
        <f t="shared" si="6"/>
        <v>464.67024038459931</v>
      </c>
      <c r="M40" s="3"/>
      <c r="N40" s="8">
        <f t="shared" si="7"/>
        <v>1.8785690140393919E-2</v>
      </c>
      <c r="O40" s="12"/>
      <c r="P40" s="7">
        <v>226882.97</v>
      </c>
      <c r="Q40" s="3"/>
      <c r="R40" s="8">
        <f t="shared" si="8"/>
        <v>0.16316265171795696</v>
      </c>
      <c r="S40" s="3"/>
      <c r="T40" s="7">
        <v>185185.46188461501</v>
      </c>
      <c r="U40" s="3"/>
      <c r="V40" s="8">
        <f t="shared" si="9"/>
        <v>0.10252856956135975</v>
      </c>
      <c r="W40" s="3"/>
      <c r="X40" s="7">
        <f t="shared" si="10"/>
        <v>41697.50811538499</v>
      </c>
      <c r="Y40" s="3"/>
      <c r="Z40" s="8">
        <f t="shared" si="11"/>
        <v>0.22516620738492846</v>
      </c>
    </row>
    <row r="41" spans="1:26" s="70" customFormat="1" ht="15" hidden="1" customHeight="1" outlineLevel="2" x14ac:dyDescent="0.3">
      <c r="A41" s="26"/>
      <c r="B41" s="12" t="str">
        <f>CONCATENATE("          ","6003"," - ","STAFF HOURLY-9 MONTH")</f>
        <v xml:space="preserve">          6003 - STAFF HOURLY-9 MONTH</v>
      </c>
      <c r="C41" s="12"/>
      <c r="D41" s="7"/>
      <c r="E41" s="3"/>
      <c r="F41" s="8">
        <f t="shared" si="4"/>
        <v>0</v>
      </c>
      <c r="G41" s="3"/>
      <c r="H41" s="7">
        <v>0</v>
      </c>
      <c r="I41" s="3"/>
      <c r="J41" s="8">
        <f t="shared" si="5"/>
        <v>0</v>
      </c>
      <c r="K41" s="3"/>
      <c r="L41" s="7">
        <f t="shared" si="6"/>
        <v>0</v>
      </c>
      <c r="M41" s="3"/>
      <c r="N41" s="8">
        <f t="shared" si="7"/>
        <v>0</v>
      </c>
      <c r="O41" s="12"/>
      <c r="P41" s="7"/>
      <c r="Q41" s="3"/>
      <c r="R41" s="8">
        <f t="shared" si="8"/>
        <v>0</v>
      </c>
      <c r="S41" s="3"/>
      <c r="T41" s="7">
        <v>0</v>
      </c>
      <c r="U41" s="3"/>
      <c r="V41" s="8">
        <f t="shared" si="9"/>
        <v>0</v>
      </c>
      <c r="W41" s="3"/>
      <c r="X41" s="7">
        <f t="shared" si="10"/>
        <v>0</v>
      </c>
      <c r="Y41" s="3"/>
      <c r="Z41" s="8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","6004"," - ","STAFF HOURLY")</f>
        <v xml:space="preserve">          6004 - STAFF HOURLY</v>
      </c>
      <c r="C42" s="12"/>
      <c r="D42" s="7">
        <v>20034.490000000002</v>
      </c>
      <c r="E42" s="3"/>
      <c r="F42" s="8">
        <f t="shared" si="4"/>
        <v>6.672380159036824E-2</v>
      </c>
      <c r="G42" s="3"/>
      <c r="H42" s="7">
        <v>18885.511439999998</v>
      </c>
      <c r="I42" s="3"/>
      <c r="J42" s="8">
        <f t="shared" si="5"/>
        <v>4.8894527999999993E-2</v>
      </c>
      <c r="K42" s="3"/>
      <c r="L42" s="7">
        <f t="shared" si="6"/>
        <v>1148.9785600000032</v>
      </c>
      <c r="M42" s="3"/>
      <c r="N42" s="8">
        <f t="shared" si="7"/>
        <v>6.0839155119010287E-2</v>
      </c>
      <c r="O42" s="12"/>
      <c r="P42" s="7">
        <v>110487.92</v>
      </c>
      <c r="Q42" s="3"/>
      <c r="R42" s="8">
        <f t="shared" si="8"/>
        <v>7.9457272663529976E-2</v>
      </c>
      <c r="S42" s="3"/>
      <c r="T42" s="7">
        <v>146759.57928000001</v>
      </c>
      <c r="U42" s="3"/>
      <c r="V42" s="8">
        <f t="shared" si="9"/>
        <v>8.1253947150456432E-2</v>
      </c>
      <c r="W42" s="3"/>
      <c r="X42" s="7">
        <f t="shared" si="10"/>
        <v>-36271.659280000007</v>
      </c>
      <c r="Y42" s="3"/>
      <c r="Z42" s="8">
        <f t="shared" si="11"/>
        <v>-0.24715019938015734</v>
      </c>
    </row>
    <row r="43" spans="1:26" s="70" customFormat="1" ht="15" hidden="1" customHeight="1" outlineLevel="2" x14ac:dyDescent="0.3">
      <c r="A43" s="26"/>
      <c r="B43" s="12" t="str">
        <f>CONCATENATE("          ","6005"," - ","TEMPORARY WAGES-HOURLY")</f>
        <v xml:space="preserve">          6005 - TEMPORARY WAGES-HOURLY</v>
      </c>
      <c r="C43" s="12"/>
      <c r="D43" s="7">
        <v>23609.31</v>
      </c>
      <c r="E43" s="3"/>
      <c r="F43" s="8">
        <f t="shared" si="4"/>
        <v>7.8629549148767797E-2</v>
      </c>
      <c r="G43" s="3"/>
      <c r="H43" s="7">
        <v>12853.3536</v>
      </c>
      <c r="I43" s="3"/>
      <c r="J43" s="8">
        <f t="shared" si="5"/>
        <v>3.3277290873786405E-2</v>
      </c>
      <c r="K43" s="3"/>
      <c r="L43" s="7">
        <f t="shared" si="6"/>
        <v>10755.956400000001</v>
      </c>
      <c r="M43" s="3"/>
      <c r="N43" s="8">
        <f t="shared" si="7"/>
        <v>0.83682101455607671</v>
      </c>
      <c r="O43" s="12"/>
      <c r="P43" s="7">
        <v>118766.03</v>
      </c>
      <c r="Q43" s="3"/>
      <c r="R43" s="8">
        <f t="shared" si="8"/>
        <v>8.5410466853525532E-2</v>
      </c>
      <c r="S43" s="3"/>
      <c r="T43" s="7">
        <v>103738.88585000001</v>
      </c>
      <c r="U43" s="3"/>
      <c r="V43" s="8">
        <f t="shared" si="9"/>
        <v>5.7435391881447299E-2</v>
      </c>
      <c r="W43" s="3"/>
      <c r="X43" s="7">
        <f t="shared" si="10"/>
        <v>15027.144149999993</v>
      </c>
      <c r="Y43" s="3"/>
      <c r="Z43" s="8">
        <f t="shared" si="11"/>
        <v>0.14485546115974593</v>
      </c>
    </row>
    <row r="44" spans="1:26" s="70" customFormat="1" ht="15" hidden="1" customHeight="1" outlineLevel="2" x14ac:dyDescent="0.3">
      <c r="A44" s="26"/>
      <c r="B44" s="12" t="str">
        <f>CONCATENATE("          ","6006"," - ","TEMPORARY PART TIME")</f>
        <v xml:space="preserve">          6006 - TEMPORARY PART TIME</v>
      </c>
      <c r="C44" s="12"/>
      <c r="D44" s="7"/>
      <c r="E44" s="3"/>
      <c r="F44" s="8">
        <f t="shared" si="4"/>
        <v>0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0</v>
      </c>
      <c r="U44" s="3"/>
      <c r="V44" s="8">
        <f t="shared" si="9"/>
        <v>0</v>
      </c>
      <c r="W44" s="3"/>
      <c r="X44" s="7">
        <f t="shared" si="10"/>
        <v>0</v>
      </c>
      <c r="Y44" s="3"/>
      <c r="Z44" s="8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","6007"," - ","STUDENT HOURLY")</f>
        <v xml:space="preserve">          6007 - STUDENT HOURLY</v>
      </c>
      <c r="C45" s="12"/>
      <c r="D45" s="7">
        <v>26477.279999999999</v>
      </c>
      <c r="E45" s="3"/>
      <c r="F45" s="8">
        <f t="shared" si="4"/>
        <v>8.818117044020711E-2</v>
      </c>
      <c r="G45" s="3"/>
      <c r="H45" s="7">
        <v>1415.6956</v>
      </c>
      <c r="I45" s="3"/>
      <c r="J45" s="8">
        <f t="shared" si="5"/>
        <v>3.6652313268608415E-3</v>
      </c>
      <c r="K45" s="3"/>
      <c r="L45" s="7">
        <f t="shared" si="6"/>
        <v>25061.5844</v>
      </c>
      <c r="M45" s="3"/>
      <c r="N45" s="8">
        <f t="shared" si="7"/>
        <v>17.702664612364408</v>
      </c>
      <c r="O45" s="12"/>
      <c r="P45" s="7">
        <v>161454.51999999999</v>
      </c>
      <c r="Q45" s="3"/>
      <c r="R45" s="8">
        <f t="shared" si="8"/>
        <v>0.11610985000350585</v>
      </c>
      <c r="S45" s="3"/>
      <c r="T45" s="7">
        <v>16993.042399999998</v>
      </c>
      <c r="U45" s="3"/>
      <c r="V45" s="8">
        <f t="shared" si="9"/>
        <v>9.4082565231449287E-3</v>
      </c>
      <c r="W45" s="3"/>
      <c r="X45" s="7">
        <f t="shared" si="10"/>
        <v>144461.47759999998</v>
      </c>
      <c r="Y45" s="3"/>
      <c r="Z45" s="8">
        <f t="shared" si="11"/>
        <v>8.5012132730275543</v>
      </c>
    </row>
    <row r="46" spans="1:26" s="70" customFormat="1" ht="15" hidden="1" customHeight="1" outlineLevel="2" x14ac:dyDescent="0.3">
      <c r="A46" s="26"/>
      <c r="B46" s="12" t="str">
        <f>CONCATENATE("          ","6008"," - ","STUDENT HOURLY-FICA EXEMPT")</f>
        <v xml:space="preserve">          6008 - STUDENT HOURLY-FICA EXEMPT</v>
      </c>
      <c r="C46" s="12"/>
      <c r="D46" s="7">
        <v>3821.81</v>
      </c>
      <c r="E46" s="3"/>
      <c r="F46" s="8">
        <f t="shared" si="4"/>
        <v>1.2728334594795537E-2</v>
      </c>
      <c r="G46" s="3"/>
      <c r="H46" s="7">
        <v>32877.80975</v>
      </c>
      <c r="I46" s="3"/>
      <c r="J46" s="8">
        <f t="shared" si="5"/>
        <v>8.5120543042071201E-2</v>
      </c>
      <c r="K46" s="3"/>
      <c r="L46" s="7">
        <f t="shared" si="6"/>
        <v>-29055.999749999999</v>
      </c>
      <c r="M46" s="3"/>
      <c r="N46" s="8">
        <f t="shared" si="7"/>
        <v>-0.88375715934057919</v>
      </c>
      <c r="O46" s="12"/>
      <c r="P46" s="7">
        <v>7056.93</v>
      </c>
      <c r="Q46" s="3"/>
      <c r="R46" s="8">
        <f t="shared" si="8"/>
        <v>5.0749838640952302E-3</v>
      </c>
      <c r="S46" s="3"/>
      <c r="T46" s="7">
        <v>165756.40515000001</v>
      </c>
      <c r="U46" s="3"/>
      <c r="V46" s="8">
        <f t="shared" si="9"/>
        <v>9.177160530156396E-2</v>
      </c>
      <c r="W46" s="3"/>
      <c r="X46" s="7">
        <f t="shared" si="10"/>
        <v>-158699.47515000001</v>
      </c>
      <c r="Y46" s="3"/>
      <c r="Z46" s="8">
        <f t="shared" si="11"/>
        <v>-0.95742589860335181</v>
      </c>
    </row>
    <row r="47" spans="1:26" s="70" customFormat="1" ht="15" hidden="1" customHeight="1" outlineLevel="2" x14ac:dyDescent="0.3">
      <c r="A47" s="26"/>
      <c r="B47" s="12" t="str">
        <f>CONCATENATE("          ","6009"," - ","TEMPORARY-SEASONAL")</f>
        <v xml:space="preserve">          6009 - TEMPORARY-SEASONAL</v>
      </c>
      <c r="C47" s="12"/>
      <c r="D47" s="7"/>
      <c r="E47" s="3"/>
      <c r="F47" s="8">
        <f t="shared" si="4"/>
        <v>0</v>
      </c>
      <c r="G47" s="3"/>
      <c r="H47" s="7">
        <v>0</v>
      </c>
      <c r="I47" s="3"/>
      <c r="J47" s="8">
        <f t="shared" si="5"/>
        <v>0</v>
      </c>
      <c r="K47" s="3"/>
      <c r="L47" s="7">
        <f t="shared" si="6"/>
        <v>0</v>
      </c>
      <c r="M47" s="3"/>
      <c r="N47" s="8">
        <f t="shared" si="7"/>
        <v>0</v>
      </c>
      <c r="O47" s="12"/>
      <c r="P47" s="7"/>
      <c r="Q47" s="3"/>
      <c r="R47" s="8">
        <f t="shared" si="8"/>
        <v>0</v>
      </c>
      <c r="S47" s="3"/>
      <c r="T47" s="7">
        <v>0</v>
      </c>
      <c r="U47" s="3"/>
      <c r="V47" s="8">
        <f t="shared" si="9"/>
        <v>0</v>
      </c>
      <c r="W47" s="3"/>
      <c r="X47" s="7">
        <f t="shared" si="10"/>
        <v>0</v>
      </c>
      <c r="Y47" s="3"/>
      <c r="Z47" s="8">
        <f t="shared" si="11"/>
        <v>0</v>
      </c>
    </row>
    <row r="48" spans="1:26" s="70" customFormat="1" ht="15" hidden="1" customHeight="1" outlineLevel="2" x14ac:dyDescent="0.3">
      <c r="A48" s="26"/>
      <c r="B48" s="12" t="str">
        <f>CONCATENATE("          ","6010"," - ","GRATUITY")</f>
        <v xml:space="preserve">          6010 - GRATUITY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69" customFormat="1" ht="15" customHeight="1" outlineLevel="1" collapsed="1" x14ac:dyDescent="0.3">
      <c r="A49" s="25"/>
      <c r="B49" s="14" t="str">
        <f>CONCATENATE("     ","Advertising/Promo                                 ")</f>
        <v xml:space="preserve">     Advertising/Promo                                 </v>
      </c>
      <c r="C49" s="14"/>
      <c r="D49" s="2">
        <f>SUM(OSRRefD22_2x_0)</f>
        <v>602.39</v>
      </c>
      <c r="E49" s="2"/>
      <c r="F49" s="6">
        <f t="shared" si="4"/>
        <v>2.0062278021562778E-3</v>
      </c>
      <c r="G49" s="2"/>
      <c r="H49" s="2">
        <f>SUM(OSRRefH22_2x_0)</f>
        <v>0</v>
      </c>
      <c r="I49" s="2"/>
      <c r="J49" s="6">
        <f t="shared" si="5"/>
        <v>0</v>
      </c>
      <c r="K49" s="2"/>
      <c r="L49" s="2">
        <f t="shared" si="6"/>
        <v>602.39</v>
      </c>
      <c r="M49" s="2"/>
      <c r="N49" s="6">
        <f t="shared" si="7"/>
        <v>0</v>
      </c>
      <c r="O49" s="14"/>
      <c r="P49" s="2">
        <f>SUM(OSRRefP22_2x_0)</f>
        <v>2144.27</v>
      </c>
      <c r="Q49" s="2"/>
      <c r="R49" s="6">
        <f t="shared" si="8"/>
        <v>1.5420495385760492E-3</v>
      </c>
      <c r="S49" s="2"/>
      <c r="T49" s="2">
        <f>SUM(OSRRefT22_2x_0)</f>
        <v>0</v>
      </c>
      <c r="U49" s="2"/>
      <c r="V49" s="6">
        <f t="shared" si="9"/>
        <v>0</v>
      </c>
      <c r="W49" s="2"/>
      <c r="X49" s="2">
        <f t="shared" si="10"/>
        <v>2144.27</v>
      </c>
      <c r="Y49" s="2"/>
      <c r="Z49" s="6">
        <f t="shared" si="11"/>
        <v>0</v>
      </c>
    </row>
    <row r="50" spans="1:26" s="70" customFormat="1" ht="15" hidden="1" customHeight="1" outlineLevel="2" x14ac:dyDescent="0.3">
      <c r="A50" s="26"/>
      <c r="B50" s="12" t="str">
        <f>CONCATENATE("          ","6362"," - ","ADVERTISING EXPENSE")</f>
        <v xml:space="preserve">          6362 - ADVERTISING EXPENSE</v>
      </c>
      <c r="C50" s="12"/>
      <c r="D50" s="7">
        <v>602.39</v>
      </c>
      <c r="E50" s="3"/>
      <c r="F50" s="8">
        <f t="shared" si="4"/>
        <v>2.0062278021562778E-3</v>
      </c>
      <c r="G50" s="3"/>
      <c r="H50" s="7"/>
      <c r="I50" s="3"/>
      <c r="J50" s="8">
        <f t="shared" si="5"/>
        <v>0</v>
      </c>
      <c r="K50" s="3"/>
      <c r="L50" s="7">
        <f t="shared" si="6"/>
        <v>602.39</v>
      </c>
      <c r="M50" s="3"/>
      <c r="N50" s="8">
        <f t="shared" si="7"/>
        <v>0</v>
      </c>
      <c r="O50" s="12"/>
      <c r="P50" s="7">
        <v>2144.27</v>
      </c>
      <c r="Q50" s="3"/>
      <c r="R50" s="8">
        <f t="shared" si="8"/>
        <v>1.5420495385760492E-3</v>
      </c>
      <c r="S50" s="3"/>
      <c r="T50" s="7"/>
      <c r="U50" s="3"/>
      <c r="V50" s="8">
        <f t="shared" si="9"/>
        <v>0</v>
      </c>
      <c r="W50" s="3"/>
      <c r="X50" s="7">
        <f t="shared" si="10"/>
        <v>2144.27</v>
      </c>
      <c r="Y50" s="3"/>
      <c r="Z50" s="8">
        <f t="shared" si="11"/>
        <v>0</v>
      </c>
    </row>
    <row r="51" spans="1:26" s="69" customFormat="1" ht="15" customHeight="1" outlineLevel="1" collapsed="1" x14ac:dyDescent="0.3">
      <c r="A51" s="25"/>
      <c r="B51" s="14" t="str">
        <f>CONCATENATE("     ","Bad Debts/Over/Short                              ")</f>
        <v xml:space="preserve">     Bad Debts/Over/Short                              </v>
      </c>
      <c r="C51" s="14"/>
      <c r="D51" s="2">
        <f>SUM(OSRRefD22_3x_0)</f>
        <v>10.1</v>
      </c>
      <c r="E51" s="2"/>
      <c r="F51" s="6">
        <f t="shared" si="4"/>
        <v>3.3637511913840538E-5</v>
      </c>
      <c r="G51" s="2"/>
      <c r="H51" s="2">
        <f>SUM(OSRRefH22_3x_0)</f>
        <v>10</v>
      </c>
      <c r="I51" s="2"/>
      <c r="J51" s="6">
        <f t="shared" si="5"/>
        <v>2.5889967637540453E-5</v>
      </c>
      <c r="K51" s="2"/>
      <c r="L51" s="2">
        <f t="shared" si="6"/>
        <v>9.9999999999999645E-2</v>
      </c>
      <c r="M51" s="2"/>
      <c r="N51" s="6">
        <f t="shared" si="7"/>
        <v>9.9999999999999638E-3</v>
      </c>
      <c r="O51" s="14"/>
      <c r="P51" s="2">
        <f>SUM(OSRRefP22_3x_0)</f>
        <v>-18.72</v>
      </c>
      <c r="Q51" s="2"/>
      <c r="R51" s="6">
        <f t="shared" si="8"/>
        <v>-1.3462468514759633E-5</v>
      </c>
      <c r="S51" s="2"/>
      <c r="T51" s="2">
        <f>SUM(OSRRefT22_3x_0)</f>
        <v>70</v>
      </c>
      <c r="U51" s="2"/>
      <c r="V51" s="6">
        <f t="shared" si="9"/>
        <v>3.8755741386259653E-5</v>
      </c>
      <c r="W51" s="2"/>
      <c r="X51" s="2">
        <f t="shared" si="10"/>
        <v>-88.72</v>
      </c>
      <c r="Y51" s="2"/>
      <c r="Z51" s="6">
        <f t="shared" si="11"/>
        <v>-1.2674285714285713</v>
      </c>
    </row>
    <row r="52" spans="1:26" s="70" customFormat="1" ht="15" hidden="1" customHeight="1" outlineLevel="2" x14ac:dyDescent="0.3">
      <c r="A52" s="26"/>
      <c r="B52" s="12" t="str">
        <f>CONCATENATE("          ","6272"," - ","CASH (OVER/SHORT)")</f>
        <v xml:space="preserve">          6272 - CASH (OVER/SHORT)</v>
      </c>
      <c r="C52" s="12"/>
      <c r="D52" s="7">
        <v>10.1</v>
      </c>
      <c r="E52" s="3"/>
      <c r="F52" s="8">
        <f t="shared" si="4"/>
        <v>3.3637511913840538E-5</v>
      </c>
      <c r="G52" s="3"/>
      <c r="H52" s="7">
        <v>10</v>
      </c>
      <c r="I52" s="3"/>
      <c r="J52" s="8">
        <f t="shared" si="5"/>
        <v>2.5889967637540453E-5</v>
      </c>
      <c r="K52" s="3"/>
      <c r="L52" s="7">
        <f t="shared" si="6"/>
        <v>9.9999999999999645E-2</v>
      </c>
      <c r="M52" s="3"/>
      <c r="N52" s="8">
        <f t="shared" si="7"/>
        <v>9.9999999999999638E-3</v>
      </c>
      <c r="O52" s="12"/>
      <c r="P52" s="7">
        <v>-18.72</v>
      </c>
      <c r="Q52" s="3"/>
      <c r="R52" s="8">
        <f t="shared" si="8"/>
        <v>-1.3462468514759633E-5</v>
      </c>
      <c r="S52" s="3"/>
      <c r="T52" s="7">
        <v>70</v>
      </c>
      <c r="U52" s="3"/>
      <c r="V52" s="8">
        <f t="shared" si="9"/>
        <v>3.8755741386259653E-5</v>
      </c>
      <c r="W52" s="3"/>
      <c r="X52" s="7">
        <f t="shared" si="10"/>
        <v>-88.72</v>
      </c>
      <c r="Y52" s="3"/>
      <c r="Z52" s="8">
        <f t="shared" si="11"/>
        <v>-1.2674285714285713</v>
      </c>
    </row>
    <row r="53" spans="1:26" s="69" customFormat="1" ht="15" customHeight="1" outlineLevel="1" collapsed="1" x14ac:dyDescent="0.3">
      <c r="A53" s="25"/>
      <c r="B53" s="14" t="str">
        <f>CONCATENATE("     ","Bank/card Fees                                    ")</f>
        <v xml:space="preserve">     Bank/card Fees                                    </v>
      </c>
      <c r="C53" s="14"/>
      <c r="D53" s="2">
        <f>SUM(OSRRefD22_4x_0)</f>
        <v>6980.11</v>
      </c>
      <c r="E53" s="2"/>
      <c r="F53" s="6">
        <f t="shared" si="4"/>
        <v>2.3246884483655198E-2</v>
      </c>
      <c r="G53" s="2"/>
      <c r="H53" s="2">
        <f>SUM(OSRRefH22_4x_0)</f>
        <v>17370</v>
      </c>
      <c r="I53" s="2"/>
      <c r="J53" s="6">
        <f t="shared" si="5"/>
        <v>4.4970873786407767E-2</v>
      </c>
      <c r="K53" s="2"/>
      <c r="L53" s="2">
        <f t="shared" si="6"/>
        <v>-10389.89</v>
      </c>
      <c r="M53" s="2"/>
      <c r="N53" s="6">
        <f t="shared" si="7"/>
        <v>-0.59815141047783527</v>
      </c>
      <c r="O53" s="14"/>
      <c r="P53" s="2">
        <f>SUM(OSRRefP22_4x_0)</f>
        <v>45754.12</v>
      </c>
      <c r="Q53" s="2"/>
      <c r="R53" s="6">
        <f t="shared" si="8"/>
        <v>3.2904027773532803E-2</v>
      </c>
      <c r="S53" s="2"/>
      <c r="T53" s="2">
        <f>SUM(OSRRefT22_4x_0)</f>
        <v>85672</v>
      </c>
      <c r="U53" s="2"/>
      <c r="V53" s="6">
        <f t="shared" si="9"/>
        <v>4.7432598229194808E-2</v>
      </c>
      <c r="W53" s="2"/>
      <c r="X53" s="2">
        <f t="shared" si="10"/>
        <v>-39917.879999999997</v>
      </c>
      <c r="Y53" s="2"/>
      <c r="Z53" s="6">
        <f t="shared" si="11"/>
        <v>-0.46593846297506769</v>
      </c>
    </row>
    <row r="54" spans="1:26" s="70" customFormat="1" ht="15" hidden="1" customHeight="1" outlineLevel="2" x14ac:dyDescent="0.3">
      <c r="A54" s="26"/>
      <c r="B54" s="12" t="str">
        <f>CONCATENATE("          ","6381"," - ","BANK/CREDIT CARD FEES")</f>
        <v xml:space="preserve">          6381 - BANK/CREDIT CARD FEES</v>
      </c>
      <c r="C54" s="12"/>
      <c r="D54" s="7">
        <v>6980.11</v>
      </c>
      <c r="E54" s="3"/>
      <c r="F54" s="8">
        <f t="shared" si="4"/>
        <v>2.3246884483655198E-2</v>
      </c>
      <c r="G54" s="3"/>
      <c r="H54" s="7">
        <v>17370</v>
      </c>
      <c r="I54" s="3"/>
      <c r="J54" s="8">
        <f t="shared" si="5"/>
        <v>4.4970873786407767E-2</v>
      </c>
      <c r="K54" s="3"/>
      <c r="L54" s="7">
        <f t="shared" si="6"/>
        <v>-10389.89</v>
      </c>
      <c r="M54" s="3"/>
      <c r="N54" s="8">
        <f t="shared" si="7"/>
        <v>-0.59815141047783527</v>
      </c>
      <c r="O54" s="12"/>
      <c r="P54" s="7">
        <v>45754.12</v>
      </c>
      <c r="Q54" s="3"/>
      <c r="R54" s="8">
        <f t="shared" si="8"/>
        <v>3.2904027773532803E-2</v>
      </c>
      <c r="S54" s="3"/>
      <c r="T54" s="7">
        <v>85672</v>
      </c>
      <c r="U54" s="3"/>
      <c r="V54" s="8">
        <f t="shared" si="9"/>
        <v>4.7432598229194808E-2</v>
      </c>
      <c r="W54" s="3"/>
      <c r="X54" s="7">
        <f t="shared" si="10"/>
        <v>-39917.879999999997</v>
      </c>
      <c r="Y54" s="3"/>
      <c r="Z54" s="8">
        <f t="shared" si="11"/>
        <v>-0.46593846297506769</v>
      </c>
    </row>
    <row r="55" spans="1:26" s="69" customFormat="1" ht="15" customHeight="1" outlineLevel="1" collapsed="1" x14ac:dyDescent="0.3">
      <c r="A55" s="25"/>
      <c r="B55" s="14" t="str">
        <f>CONCATENATE("     ","Depreciation                                      ")</f>
        <v xml:space="preserve">     Depreciation                                      </v>
      </c>
      <c r="C55" s="14"/>
      <c r="D55" s="2">
        <f>SUM(OSRRefD22_5x_0)</f>
        <v>36077.72</v>
      </c>
      <c r="E55" s="2"/>
      <c r="F55" s="6">
        <f t="shared" si="4"/>
        <v>0.12015492438853498</v>
      </c>
      <c r="G55" s="2"/>
      <c r="H55" s="2">
        <f>SUM(OSRRefH22_5x_0)</f>
        <v>32208</v>
      </c>
      <c r="I55" s="2"/>
      <c r="J55" s="6">
        <f t="shared" si="5"/>
        <v>8.3386407766990286E-2</v>
      </c>
      <c r="K55" s="2"/>
      <c r="L55" s="2">
        <f t="shared" si="6"/>
        <v>3869.7200000000012</v>
      </c>
      <c r="M55" s="2"/>
      <c r="N55" s="6">
        <f t="shared" si="7"/>
        <v>0.12014778936910088</v>
      </c>
      <c r="O55" s="14"/>
      <c r="P55" s="2">
        <f>SUM(OSRRefP22_5x_0)</f>
        <v>330629.42000000004</v>
      </c>
      <c r="Q55" s="2"/>
      <c r="R55" s="6">
        <f t="shared" si="8"/>
        <v>0.23777180324803632</v>
      </c>
      <c r="S55" s="2"/>
      <c r="T55" s="2">
        <f>SUM(OSRRefT22_5x_0)</f>
        <v>326768</v>
      </c>
      <c r="U55" s="2"/>
      <c r="V55" s="6">
        <f t="shared" si="9"/>
        <v>0.18091623001864704</v>
      </c>
      <c r="W55" s="2"/>
      <c r="X55" s="2">
        <f t="shared" si="10"/>
        <v>3861.4200000000419</v>
      </c>
      <c r="Y55" s="2"/>
      <c r="Z55" s="6">
        <f t="shared" si="11"/>
        <v>1.1817007785340186E-2</v>
      </c>
    </row>
    <row r="56" spans="1:26" s="70" customFormat="1" ht="15" hidden="1" customHeight="1" outlineLevel="2" x14ac:dyDescent="0.3">
      <c r="A56" s="26"/>
      <c r="B56" s="12" t="str">
        <f>CONCATENATE("          ","6321"," - ","BUILDING DEPRECIATION")</f>
        <v xml:space="preserve">          6321 - BUILDING DEPRECIATION</v>
      </c>
      <c r="C56" s="12"/>
      <c r="D56" s="7">
        <v>23539.4</v>
      </c>
      <c r="E56" s="3"/>
      <c r="F56" s="8">
        <f t="shared" si="4"/>
        <v>7.8396717618282985E-2</v>
      </c>
      <c r="G56" s="3"/>
      <c r="H56" s="7"/>
      <c r="I56" s="3"/>
      <c r="J56" s="8">
        <f t="shared" si="5"/>
        <v>0</v>
      </c>
      <c r="K56" s="3"/>
      <c r="L56" s="7">
        <f t="shared" si="6"/>
        <v>23539.4</v>
      </c>
      <c r="M56" s="3"/>
      <c r="N56" s="8">
        <f t="shared" si="7"/>
        <v>0</v>
      </c>
      <c r="O56" s="12"/>
      <c r="P56" s="7">
        <v>235482.14</v>
      </c>
      <c r="Q56" s="3"/>
      <c r="R56" s="8">
        <f t="shared" si="8"/>
        <v>0.16934673587276819</v>
      </c>
      <c r="S56" s="3"/>
      <c r="T56" s="7"/>
      <c r="U56" s="3"/>
      <c r="V56" s="8">
        <f t="shared" si="9"/>
        <v>0</v>
      </c>
      <c r="W56" s="3"/>
      <c r="X56" s="7">
        <f t="shared" si="10"/>
        <v>235482.14</v>
      </c>
      <c r="Y56" s="3"/>
      <c r="Z56" s="8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","6322"," - ","EQUIPMENT DEPRECIATION EXPENSE")</f>
        <v xml:space="preserve">          6322 - EQUIPMENT DEPRECIATION EXPENSE</v>
      </c>
      <c r="C57" s="12"/>
      <c r="D57" s="7">
        <v>12538.32</v>
      </c>
      <c r="E57" s="3"/>
      <c r="F57" s="8">
        <f t="shared" si="4"/>
        <v>4.1758206770251993E-2</v>
      </c>
      <c r="G57" s="3"/>
      <c r="H57" s="7">
        <v>32208</v>
      </c>
      <c r="I57" s="3"/>
      <c r="J57" s="8">
        <f t="shared" si="5"/>
        <v>8.3386407766990286E-2</v>
      </c>
      <c r="K57" s="3"/>
      <c r="L57" s="7">
        <f t="shared" si="6"/>
        <v>-19669.68</v>
      </c>
      <c r="M57" s="3"/>
      <c r="N57" s="8">
        <f t="shared" si="7"/>
        <v>-0.61070789865871833</v>
      </c>
      <c r="O57" s="12"/>
      <c r="P57" s="7">
        <v>95147.28</v>
      </c>
      <c r="Q57" s="3"/>
      <c r="R57" s="8">
        <f t="shared" si="8"/>
        <v>6.84250673752681E-2</v>
      </c>
      <c r="S57" s="3"/>
      <c r="T57" s="7">
        <v>326768</v>
      </c>
      <c r="U57" s="3"/>
      <c r="V57" s="8">
        <f t="shared" si="9"/>
        <v>0.18091623001864704</v>
      </c>
      <c r="W57" s="3"/>
      <c r="X57" s="7">
        <f t="shared" si="10"/>
        <v>-231620.72</v>
      </c>
      <c r="Y57" s="3"/>
      <c r="Z57" s="8">
        <f t="shared" si="11"/>
        <v>-0.70882314057680063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SUM(OSRRefD22_6x_0)</f>
        <v>61.45</v>
      </c>
      <c r="E58" s="2"/>
      <c r="F58" s="6">
        <f t="shared" ref="F58:F89" si="12">IF(D$12=0,0,D58/D$12)</f>
        <v>2.0465595119856451E-4</v>
      </c>
      <c r="G58" s="2"/>
      <c r="H58" s="2">
        <f>SUM(OSRRefH22_6x_0)</f>
        <v>20</v>
      </c>
      <c r="I58" s="2"/>
      <c r="J58" s="6">
        <f t="shared" ref="J58:J89" si="13">IF(H$12=0,0,H58/H$12)</f>
        <v>5.1779935275080907E-5</v>
      </c>
      <c r="K58" s="2"/>
      <c r="L58" s="2">
        <f t="shared" ref="L58:L89" si="14">+D58-H58</f>
        <v>41.45</v>
      </c>
      <c r="M58" s="2"/>
      <c r="N58" s="6">
        <f t="shared" ref="N58:N89" si="15">IF(H58=0,0,L58/H58)</f>
        <v>2.0725000000000002</v>
      </c>
      <c r="O58" s="14"/>
      <c r="P58" s="2">
        <f>SUM(OSRRefP22_6x_0)</f>
        <v>376.32</v>
      </c>
      <c r="Q58" s="2"/>
      <c r="R58" s="6">
        <f t="shared" ref="R58:R89" si="16">IF(P$12=0,0,P58/P$12)</f>
        <v>2.7063013629670645E-4</v>
      </c>
      <c r="S58" s="2"/>
      <c r="T58" s="2">
        <f>SUM(OSRRefT22_6x_0)</f>
        <v>290</v>
      </c>
      <c r="U58" s="2"/>
      <c r="V58" s="6">
        <f t="shared" ref="V58:V89" si="17">IF(T$12=0,0,T58/T$12)</f>
        <v>1.6055950002878997E-4</v>
      </c>
      <c r="W58" s="2"/>
      <c r="X58" s="2">
        <f t="shared" ref="X58:X89" si="18">+P58-T58</f>
        <v>86.32</v>
      </c>
      <c r="Y58" s="2"/>
      <c r="Z58" s="6">
        <f t="shared" ref="Z58:Z89" si="19">IF(T58=0,0,X58/T58)</f>
        <v>0.29765517241379308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>
        <v>61.45</v>
      </c>
      <c r="E59" s="3"/>
      <c r="F59" s="8">
        <f t="shared" si="12"/>
        <v>2.0465595119856451E-4</v>
      </c>
      <c r="G59" s="3"/>
      <c r="H59" s="7">
        <v>20</v>
      </c>
      <c r="I59" s="3"/>
      <c r="J59" s="8">
        <f t="shared" si="13"/>
        <v>5.1779935275080907E-5</v>
      </c>
      <c r="K59" s="3"/>
      <c r="L59" s="7">
        <f t="shared" si="14"/>
        <v>41.45</v>
      </c>
      <c r="M59" s="3"/>
      <c r="N59" s="8">
        <f t="shared" si="15"/>
        <v>2.0725000000000002</v>
      </c>
      <c r="O59" s="12"/>
      <c r="P59" s="7">
        <v>376.32</v>
      </c>
      <c r="Q59" s="3"/>
      <c r="R59" s="8">
        <f t="shared" si="16"/>
        <v>2.7063013629670645E-4</v>
      </c>
      <c r="S59" s="3"/>
      <c r="T59" s="7">
        <v>290</v>
      </c>
      <c r="U59" s="3"/>
      <c r="V59" s="8">
        <f t="shared" si="17"/>
        <v>1.6055950002878997E-4</v>
      </c>
      <c r="W59" s="3"/>
      <c r="X59" s="7">
        <f t="shared" si="18"/>
        <v>86.32</v>
      </c>
      <c r="Y59" s="3"/>
      <c r="Z59" s="8">
        <f t="shared" si="19"/>
        <v>0.29765517241379308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SUM(OSRRefD22_7x_0)</f>
        <v>1997.37</v>
      </c>
      <c r="E60" s="2"/>
      <c r="F60" s="6">
        <f t="shared" si="12"/>
        <v>6.6521343734007605E-3</v>
      </c>
      <c r="G60" s="2"/>
      <c r="H60" s="2">
        <f>SUM(OSRRefH22_7x_0)</f>
        <v>775</v>
      </c>
      <c r="I60" s="2"/>
      <c r="J60" s="6">
        <f t="shared" si="13"/>
        <v>2.0064724919093852E-3</v>
      </c>
      <c r="K60" s="2"/>
      <c r="L60" s="2">
        <f t="shared" si="14"/>
        <v>1222.3699999999999</v>
      </c>
      <c r="M60" s="2"/>
      <c r="N60" s="6">
        <f t="shared" si="15"/>
        <v>1.5772516129032257</v>
      </c>
      <c r="O60" s="14"/>
      <c r="P60" s="2">
        <f>SUM(OSRRefP22_7x_0)</f>
        <v>10020.709999999999</v>
      </c>
      <c r="Q60" s="2"/>
      <c r="R60" s="6">
        <f t="shared" si="16"/>
        <v>7.2063831661611641E-3</v>
      </c>
      <c r="S60" s="2"/>
      <c r="T60" s="2">
        <f>SUM(OSRRefT22_7x_0)</f>
        <v>7750</v>
      </c>
      <c r="U60" s="2"/>
      <c r="V60" s="6">
        <f t="shared" si="17"/>
        <v>4.290814224907318E-3</v>
      </c>
      <c r="W60" s="2"/>
      <c r="X60" s="2">
        <f t="shared" si="18"/>
        <v>2270.7099999999991</v>
      </c>
      <c r="Y60" s="2"/>
      <c r="Z60" s="6">
        <f t="shared" si="19"/>
        <v>0.2929948387096773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7">
        <v>1997.37</v>
      </c>
      <c r="E61" s="3"/>
      <c r="F61" s="8">
        <f t="shared" si="12"/>
        <v>6.6521343734007605E-3</v>
      </c>
      <c r="G61" s="3"/>
      <c r="H61" s="7">
        <v>775</v>
      </c>
      <c r="I61" s="3"/>
      <c r="J61" s="8">
        <f t="shared" si="13"/>
        <v>2.0064724919093852E-3</v>
      </c>
      <c r="K61" s="3"/>
      <c r="L61" s="7">
        <f t="shared" si="14"/>
        <v>1222.3699999999999</v>
      </c>
      <c r="M61" s="3"/>
      <c r="N61" s="8">
        <f t="shared" si="15"/>
        <v>1.5772516129032257</v>
      </c>
      <c r="O61" s="12"/>
      <c r="P61" s="7">
        <v>10020.709999999999</v>
      </c>
      <c r="Q61" s="3"/>
      <c r="R61" s="8">
        <f t="shared" si="16"/>
        <v>7.2063831661611641E-3</v>
      </c>
      <c r="S61" s="3"/>
      <c r="T61" s="7">
        <v>7750</v>
      </c>
      <c r="U61" s="3"/>
      <c r="V61" s="8">
        <f t="shared" si="17"/>
        <v>4.290814224907318E-3</v>
      </c>
      <c r="W61" s="3"/>
      <c r="X61" s="7">
        <f t="shared" si="18"/>
        <v>2270.7099999999991</v>
      </c>
      <c r="Y61" s="3"/>
      <c r="Z61" s="8">
        <f t="shared" si="19"/>
        <v>0.2929948387096773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SUM(OSRRefD22_8x_0)</f>
        <v>-316.45</v>
      </c>
      <c r="E62" s="2"/>
      <c r="F62" s="6">
        <f t="shared" si="12"/>
        <v>-1.0539198658549346E-3</v>
      </c>
      <c r="G62" s="2"/>
      <c r="H62" s="2">
        <f>SUM(OSRRefH22_8x_0)</f>
        <v>0</v>
      </c>
      <c r="I62" s="2"/>
      <c r="J62" s="6">
        <f t="shared" si="13"/>
        <v>0</v>
      </c>
      <c r="K62" s="2"/>
      <c r="L62" s="2">
        <f t="shared" si="14"/>
        <v>-316.45</v>
      </c>
      <c r="M62" s="2"/>
      <c r="N62" s="6">
        <f t="shared" si="15"/>
        <v>0</v>
      </c>
      <c r="O62" s="14"/>
      <c r="P62" s="2">
        <f>SUM(OSRRefP22_8x_0)</f>
        <v>19639.64</v>
      </c>
      <c r="Q62" s="2"/>
      <c r="R62" s="6">
        <f t="shared" si="16"/>
        <v>1.4123826663526382E-2</v>
      </c>
      <c r="S62" s="2"/>
      <c r="T62" s="2">
        <f>SUM(OSRRefT22_8x_0)</f>
        <v>5690</v>
      </c>
      <c r="U62" s="2"/>
      <c r="V62" s="6">
        <f t="shared" si="17"/>
        <v>3.1502881212545344E-3</v>
      </c>
      <c r="W62" s="2"/>
      <c r="X62" s="2">
        <f t="shared" si="18"/>
        <v>13949.64</v>
      </c>
      <c r="Y62" s="2"/>
      <c r="Z62" s="6">
        <f t="shared" si="19"/>
        <v>2.4516063268892792</v>
      </c>
    </row>
    <row r="63" spans="1:26" s="70" customFormat="1" ht="15" hidden="1" customHeight="1" outlineLevel="2" x14ac:dyDescent="0.3">
      <c r="A63" s="26"/>
      <c r="B63" s="12" t="str">
        <f>CONCATENATE("          ","6269"," - ","ENTERTAINMENT")</f>
        <v xml:space="preserve">          6269 - ENTERTAINMENT</v>
      </c>
      <c r="C63" s="12"/>
      <c r="D63" s="7"/>
      <c r="E63" s="3"/>
      <c r="F63" s="8">
        <f t="shared" si="12"/>
        <v>0</v>
      </c>
      <c r="G63" s="3"/>
      <c r="H63" s="7"/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/>
      <c r="Q63" s="3"/>
      <c r="R63" s="8">
        <f t="shared" si="16"/>
        <v>0</v>
      </c>
      <c r="S63" s="3"/>
      <c r="T63" s="7">
        <v>500</v>
      </c>
      <c r="U63" s="3"/>
      <c r="V63" s="8">
        <f t="shared" si="17"/>
        <v>2.7682672418756894E-4</v>
      </c>
      <c r="W63" s="3"/>
      <c r="X63" s="7">
        <f t="shared" si="18"/>
        <v>-500</v>
      </c>
      <c r="Y63" s="3"/>
      <c r="Z63" s="8">
        <f t="shared" si="19"/>
        <v>-1</v>
      </c>
    </row>
    <row r="64" spans="1:26" s="70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7">
        <v>-316.45</v>
      </c>
      <c r="E64" s="3"/>
      <c r="F64" s="8">
        <f t="shared" si="12"/>
        <v>-1.0539198658549346E-3</v>
      </c>
      <c r="G64" s="3"/>
      <c r="H64" s="7"/>
      <c r="I64" s="3"/>
      <c r="J64" s="8">
        <f t="shared" si="13"/>
        <v>0</v>
      </c>
      <c r="K64" s="3"/>
      <c r="L64" s="7">
        <f t="shared" si="14"/>
        <v>-316.45</v>
      </c>
      <c r="M64" s="3"/>
      <c r="N64" s="8">
        <f t="shared" si="15"/>
        <v>0</v>
      </c>
      <c r="O64" s="12"/>
      <c r="P64" s="7">
        <v>19639.64</v>
      </c>
      <c r="Q64" s="3"/>
      <c r="R64" s="8">
        <f t="shared" si="16"/>
        <v>1.4123826663526382E-2</v>
      </c>
      <c r="S64" s="3"/>
      <c r="T64" s="7">
        <v>5190</v>
      </c>
      <c r="U64" s="3"/>
      <c r="V64" s="8">
        <f t="shared" si="17"/>
        <v>2.8734613970669656E-3</v>
      </c>
      <c r="W64" s="3"/>
      <c r="X64" s="7">
        <f t="shared" si="18"/>
        <v>14449.64</v>
      </c>
      <c r="Y64" s="3"/>
      <c r="Z64" s="8">
        <f t="shared" si="19"/>
        <v>2.7841310211946051</v>
      </c>
    </row>
    <row r="65" spans="1:26" s="69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5756.21</v>
      </c>
      <c r="E65" s="2"/>
      <c r="F65" s="6">
        <f t="shared" si="12"/>
        <v>1.9170750737977037E-2</v>
      </c>
      <c r="G65" s="2"/>
      <c r="H65" s="2">
        <f>SUM(OSRRefH22_9x_0)</f>
        <v>5670</v>
      </c>
      <c r="I65" s="2"/>
      <c r="J65" s="6">
        <f t="shared" si="13"/>
        <v>1.4679611650485437E-2</v>
      </c>
      <c r="K65" s="2"/>
      <c r="L65" s="2">
        <f t="shared" si="14"/>
        <v>86.210000000000036</v>
      </c>
      <c r="M65" s="2"/>
      <c r="N65" s="6">
        <f t="shared" si="15"/>
        <v>1.5204585537918877E-2</v>
      </c>
      <c r="O65" s="14"/>
      <c r="P65" s="2">
        <f>SUM(OSRRefP22_9x_0)</f>
        <v>64445.1</v>
      </c>
      <c r="Q65" s="2"/>
      <c r="R65" s="6">
        <f t="shared" si="16"/>
        <v>4.634562658549872E-2</v>
      </c>
      <c r="S65" s="2"/>
      <c r="T65" s="2">
        <f>SUM(OSRRefT22_9x_0)</f>
        <v>56700</v>
      </c>
      <c r="U65" s="2"/>
      <c r="V65" s="6">
        <f t="shared" si="17"/>
        <v>3.1392150522870317E-2</v>
      </c>
      <c r="W65" s="2"/>
      <c r="X65" s="2">
        <f t="shared" si="18"/>
        <v>7745.0999999999985</v>
      </c>
      <c r="Y65" s="2"/>
      <c r="Z65" s="6">
        <f t="shared" si="19"/>
        <v>0.13659788359788358</v>
      </c>
    </row>
    <row r="66" spans="1:26" s="70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7">
        <v>5756.21</v>
      </c>
      <c r="E66" s="3"/>
      <c r="F66" s="8">
        <f t="shared" si="12"/>
        <v>1.9170750737977037E-2</v>
      </c>
      <c r="G66" s="3"/>
      <c r="H66" s="7">
        <v>5670</v>
      </c>
      <c r="I66" s="3"/>
      <c r="J66" s="8">
        <f t="shared" si="13"/>
        <v>1.4679611650485437E-2</v>
      </c>
      <c r="K66" s="3"/>
      <c r="L66" s="7">
        <f t="shared" si="14"/>
        <v>86.210000000000036</v>
      </c>
      <c r="M66" s="3"/>
      <c r="N66" s="8">
        <f t="shared" si="15"/>
        <v>1.5204585537918877E-2</v>
      </c>
      <c r="O66" s="12"/>
      <c r="P66" s="7">
        <v>64445.1</v>
      </c>
      <c r="Q66" s="3"/>
      <c r="R66" s="8">
        <f t="shared" si="16"/>
        <v>4.634562658549872E-2</v>
      </c>
      <c r="S66" s="3"/>
      <c r="T66" s="7">
        <v>56700</v>
      </c>
      <c r="U66" s="3"/>
      <c r="V66" s="8">
        <f t="shared" si="17"/>
        <v>3.1392150522870317E-2</v>
      </c>
      <c r="W66" s="3"/>
      <c r="X66" s="7">
        <f t="shared" si="18"/>
        <v>7745.0999999999985</v>
      </c>
      <c r="Y66" s="3"/>
      <c r="Z66" s="8">
        <f t="shared" si="19"/>
        <v>0.13659788359788358</v>
      </c>
    </row>
    <row r="67" spans="1:26" s="69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5629</v>
      </c>
      <c r="E67" s="2"/>
      <c r="F67" s="6">
        <f t="shared" si="12"/>
        <v>1.8747084610198854E-2</v>
      </c>
      <c r="G67" s="2"/>
      <c r="H67" s="2">
        <f>SUM(OSRRefH22_10x_0)</f>
        <v>7253</v>
      </c>
      <c r="I67" s="2"/>
      <c r="J67" s="6">
        <f t="shared" si="13"/>
        <v>1.8777993527508089E-2</v>
      </c>
      <c r="K67" s="2"/>
      <c r="L67" s="2">
        <f t="shared" si="14"/>
        <v>-1624</v>
      </c>
      <c r="M67" s="2"/>
      <c r="N67" s="6">
        <f t="shared" si="15"/>
        <v>-0.22390734868330345</v>
      </c>
      <c r="O67" s="14"/>
      <c r="P67" s="2">
        <f>SUM(OSRRefP22_10x_0)</f>
        <v>70392</v>
      </c>
      <c r="Q67" s="2"/>
      <c r="R67" s="6">
        <f t="shared" si="16"/>
        <v>5.0622333530500004E-2</v>
      </c>
      <c r="S67" s="2"/>
      <c r="T67" s="2">
        <f>SUM(OSRRefT22_10x_0)</f>
        <v>72530</v>
      </c>
      <c r="U67" s="2"/>
      <c r="V67" s="6">
        <f t="shared" si="17"/>
        <v>4.0156484610648746E-2</v>
      </c>
      <c r="W67" s="2"/>
      <c r="X67" s="2">
        <f t="shared" si="18"/>
        <v>-2138</v>
      </c>
      <c r="Y67" s="2"/>
      <c r="Z67" s="6">
        <f t="shared" si="19"/>
        <v>-2.9477457603750173E-2</v>
      </c>
    </row>
    <row r="68" spans="1:26" s="70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7">
        <v>5629</v>
      </c>
      <c r="E68" s="3"/>
      <c r="F68" s="8">
        <f t="shared" si="12"/>
        <v>1.8747084610198854E-2</v>
      </c>
      <c r="G68" s="3"/>
      <c r="H68" s="7">
        <v>7253</v>
      </c>
      <c r="I68" s="3"/>
      <c r="J68" s="8">
        <f t="shared" si="13"/>
        <v>1.8777993527508089E-2</v>
      </c>
      <c r="K68" s="3"/>
      <c r="L68" s="7">
        <f t="shared" si="14"/>
        <v>-1624</v>
      </c>
      <c r="M68" s="3"/>
      <c r="N68" s="8">
        <f t="shared" si="15"/>
        <v>-0.22390734868330345</v>
      </c>
      <c r="O68" s="12"/>
      <c r="P68" s="7">
        <v>70392</v>
      </c>
      <c r="Q68" s="3"/>
      <c r="R68" s="8">
        <f t="shared" si="16"/>
        <v>5.0622333530500004E-2</v>
      </c>
      <c r="S68" s="3"/>
      <c r="T68" s="7">
        <v>72530</v>
      </c>
      <c r="U68" s="3"/>
      <c r="V68" s="8">
        <f t="shared" si="17"/>
        <v>4.0156484610648746E-2</v>
      </c>
      <c r="W68" s="3"/>
      <c r="X68" s="7">
        <f t="shared" si="18"/>
        <v>-2138</v>
      </c>
      <c r="Y68" s="3"/>
      <c r="Z68" s="8">
        <f t="shared" si="19"/>
        <v>-2.9477457603750173E-2</v>
      </c>
    </row>
    <row r="69" spans="1:26" s="69" customFormat="1" ht="15" customHeight="1" outlineLevel="1" collapsed="1" x14ac:dyDescent="0.3">
      <c r="A69" s="25"/>
      <c r="B69" s="14" t="str">
        <f>CONCATENATE("     ","Rent                                              ")</f>
        <v xml:space="preserve">     Rent                                              </v>
      </c>
      <c r="C69" s="14"/>
      <c r="D69" s="2">
        <f>SUM(OSRRefD22_11x_0)</f>
        <v>1850</v>
      </c>
      <c r="E69" s="2"/>
      <c r="F69" s="6">
        <f t="shared" si="12"/>
        <v>6.1613264396638617E-3</v>
      </c>
      <c r="G69" s="2"/>
      <c r="H69" s="2">
        <f>SUM(OSRRefH22_11x_0)</f>
        <v>1850</v>
      </c>
      <c r="I69" s="2"/>
      <c r="J69" s="6">
        <f t="shared" si="13"/>
        <v>4.7896440129449836E-3</v>
      </c>
      <c r="K69" s="2"/>
      <c r="L69" s="2">
        <f t="shared" si="14"/>
        <v>0</v>
      </c>
      <c r="M69" s="2"/>
      <c r="N69" s="6">
        <f t="shared" si="15"/>
        <v>0</v>
      </c>
      <c r="O69" s="14"/>
      <c r="P69" s="2">
        <f>SUM(OSRRefP22_11x_0)</f>
        <v>18500</v>
      </c>
      <c r="Q69" s="2"/>
      <c r="R69" s="6">
        <f t="shared" si="16"/>
        <v>1.3304255743752843E-2</v>
      </c>
      <c r="S69" s="2"/>
      <c r="T69" s="2">
        <f>SUM(OSRRefT22_11x_0)</f>
        <v>18500</v>
      </c>
      <c r="U69" s="2"/>
      <c r="V69" s="6">
        <f t="shared" si="17"/>
        <v>1.024258879494005E-2</v>
      </c>
      <c r="W69" s="2"/>
      <c r="X69" s="2">
        <f t="shared" si="18"/>
        <v>0</v>
      </c>
      <c r="Y69" s="2"/>
      <c r="Z69" s="6">
        <f t="shared" si="19"/>
        <v>0</v>
      </c>
    </row>
    <row r="70" spans="1:26" s="70" customFormat="1" ht="15" hidden="1" customHeight="1" outlineLevel="2" x14ac:dyDescent="0.3">
      <c r="A70" s="26"/>
      <c r="B70" s="12" t="str">
        <f>CONCATENATE("          ","6273"," - ","RENT")</f>
        <v xml:space="preserve">          6273 - RENT</v>
      </c>
      <c r="C70" s="12"/>
      <c r="D70" s="7">
        <v>1850</v>
      </c>
      <c r="E70" s="3"/>
      <c r="F70" s="8">
        <f t="shared" si="12"/>
        <v>6.1613264396638617E-3</v>
      </c>
      <c r="G70" s="3"/>
      <c r="H70" s="7">
        <v>1850</v>
      </c>
      <c r="I70" s="3"/>
      <c r="J70" s="8">
        <f t="shared" si="13"/>
        <v>4.7896440129449836E-3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>
        <v>18500</v>
      </c>
      <c r="Q70" s="3"/>
      <c r="R70" s="8">
        <f t="shared" si="16"/>
        <v>1.3304255743752843E-2</v>
      </c>
      <c r="S70" s="3"/>
      <c r="T70" s="7">
        <v>18500</v>
      </c>
      <c r="U70" s="3"/>
      <c r="V70" s="8">
        <f t="shared" si="17"/>
        <v>1.024258879494005E-2</v>
      </c>
      <c r="W70" s="3"/>
      <c r="X70" s="7">
        <f t="shared" si="18"/>
        <v>0</v>
      </c>
      <c r="Y70" s="3"/>
      <c r="Z70" s="8">
        <f t="shared" si="19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SUM(OSRRefD22_12x_0)</f>
        <v>17878.2</v>
      </c>
      <c r="E71" s="2"/>
      <c r="F71" s="6">
        <f t="shared" si="12"/>
        <v>5.9542392623566733E-2</v>
      </c>
      <c r="G71" s="2"/>
      <c r="H71" s="2">
        <f>SUM(OSRRefH22_12x_0)</f>
        <v>5179</v>
      </c>
      <c r="I71" s="2"/>
      <c r="J71" s="6">
        <f t="shared" si="13"/>
        <v>1.34084142394822E-2</v>
      </c>
      <c r="K71" s="2"/>
      <c r="L71" s="2">
        <f t="shared" si="14"/>
        <v>12699.2</v>
      </c>
      <c r="M71" s="2"/>
      <c r="N71" s="6">
        <f t="shared" si="15"/>
        <v>2.4520563815408383</v>
      </c>
      <c r="O71" s="14"/>
      <c r="P71" s="2">
        <f>SUM(OSRRefP22_12x_0)</f>
        <v>83753.84</v>
      </c>
      <c r="Q71" s="2"/>
      <c r="R71" s="6">
        <f t="shared" si="16"/>
        <v>6.0231486858451706E-2</v>
      </c>
      <c r="S71" s="2"/>
      <c r="T71" s="2">
        <f>SUM(OSRRefT22_12x_0)</f>
        <v>48488</v>
      </c>
      <c r="U71" s="2"/>
      <c r="V71" s="6">
        <f t="shared" si="17"/>
        <v>2.6845548404813683E-2</v>
      </c>
      <c r="W71" s="2"/>
      <c r="X71" s="2">
        <f t="shared" si="18"/>
        <v>35265.839999999997</v>
      </c>
      <c r="Y71" s="2"/>
      <c r="Z71" s="6">
        <f t="shared" si="19"/>
        <v>0.72731067480613754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7">
        <v>8966.19</v>
      </c>
      <c r="E72" s="3"/>
      <c r="F72" s="8">
        <f t="shared" si="12"/>
        <v>2.986141811354039E-2</v>
      </c>
      <c r="G72" s="3"/>
      <c r="H72" s="7"/>
      <c r="I72" s="3"/>
      <c r="J72" s="8">
        <f t="shared" si="13"/>
        <v>0</v>
      </c>
      <c r="K72" s="3"/>
      <c r="L72" s="7">
        <f t="shared" si="14"/>
        <v>8966.19</v>
      </c>
      <c r="M72" s="3"/>
      <c r="N72" s="8">
        <f t="shared" si="15"/>
        <v>0</v>
      </c>
      <c r="O72" s="12"/>
      <c r="P72" s="7">
        <v>16567.060000000001</v>
      </c>
      <c r="Q72" s="3"/>
      <c r="R72" s="8">
        <f t="shared" si="16"/>
        <v>1.1914183954708E-2</v>
      </c>
      <c r="S72" s="3"/>
      <c r="T72" s="7"/>
      <c r="U72" s="3"/>
      <c r="V72" s="8">
        <f t="shared" si="17"/>
        <v>0</v>
      </c>
      <c r="W72" s="3"/>
      <c r="X72" s="7">
        <f t="shared" si="18"/>
        <v>16567.060000000001</v>
      </c>
      <c r="Y72" s="3"/>
      <c r="Z72" s="8">
        <f t="shared" si="19"/>
        <v>0</v>
      </c>
    </row>
    <row r="73" spans="1:26" s="70" customFormat="1" ht="15" hidden="1" customHeight="1" outlineLevel="2" x14ac:dyDescent="0.3">
      <c r="A73" s="26"/>
      <c r="B73" s="12" t="str">
        <f>CONCATENATE("          ","6372"," - ","COMPUTER HARDWARE MAINTENANCE")</f>
        <v xml:space="preserve">          6372 - COMPUTER HARDWARE MAINTENANCE</v>
      </c>
      <c r="C73" s="12"/>
      <c r="D73" s="7"/>
      <c r="E73" s="3"/>
      <c r="F73" s="8">
        <f t="shared" si="12"/>
        <v>0</v>
      </c>
      <c r="G73" s="3"/>
      <c r="H73" s="7"/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8000</v>
      </c>
      <c r="U73" s="3"/>
      <c r="V73" s="8">
        <f t="shared" si="17"/>
        <v>4.4292275870011031E-3</v>
      </c>
      <c r="W73" s="3"/>
      <c r="X73" s="7">
        <f t="shared" si="18"/>
        <v>-8000</v>
      </c>
      <c r="Y73" s="3"/>
      <c r="Z73" s="8">
        <f t="shared" si="19"/>
        <v>-1</v>
      </c>
    </row>
    <row r="74" spans="1:26" s="70" customFormat="1" ht="15" hidden="1" customHeight="1" outlineLevel="2" x14ac:dyDescent="0.3">
      <c r="A74" s="26"/>
      <c r="B74" s="12" t="str">
        <f>CONCATENATE("          ","6373"," - ","MAINTENANCE CONTRACTS")</f>
        <v xml:space="preserve">          6373 - MAINTENANCE CONTRACTS</v>
      </c>
      <c r="C74" s="12"/>
      <c r="D74" s="7">
        <v>-4.3499999999999996</v>
      </c>
      <c r="E74" s="3"/>
      <c r="F74" s="8">
        <f t="shared" si="12"/>
        <v>-1.448744325002043E-5</v>
      </c>
      <c r="G74" s="3"/>
      <c r="H74" s="7">
        <v>1030</v>
      </c>
      <c r="I74" s="3"/>
      <c r="J74" s="8">
        <f t="shared" si="13"/>
        <v>2.6666666666666666E-3</v>
      </c>
      <c r="K74" s="3"/>
      <c r="L74" s="7">
        <f t="shared" si="14"/>
        <v>-1034.3499999999999</v>
      </c>
      <c r="M74" s="3"/>
      <c r="N74" s="8">
        <f t="shared" si="15"/>
        <v>-1.0042233009708736</v>
      </c>
      <c r="O74" s="12"/>
      <c r="P74" s="7">
        <v>16529.8</v>
      </c>
      <c r="Q74" s="3"/>
      <c r="R74" s="8">
        <f t="shared" si="16"/>
        <v>1.1887388464491121E-2</v>
      </c>
      <c r="S74" s="3"/>
      <c r="T74" s="7">
        <v>5645</v>
      </c>
      <c r="U74" s="3"/>
      <c r="V74" s="8">
        <f t="shared" si="17"/>
        <v>3.1253737160776532E-3</v>
      </c>
      <c r="W74" s="3"/>
      <c r="X74" s="7">
        <f t="shared" si="18"/>
        <v>10884.8</v>
      </c>
      <c r="Y74" s="3"/>
      <c r="Z74" s="8">
        <f t="shared" si="19"/>
        <v>1.9282196634189548</v>
      </c>
    </row>
    <row r="75" spans="1:26" s="70" customFormat="1" ht="15" hidden="1" customHeight="1" outlineLevel="2" x14ac:dyDescent="0.3">
      <c r="A75" s="26"/>
      <c r="B75" s="12" t="str">
        <f>CONCATENATE("          ","6375"," - ","OUTSIDE REPAIRS &amp; MAINTENANCE")</f>
        <v xml:space="preserve">          6375 - OUTSIDE REPAIRS &amp; MAINTENANCE</v>
      </c>
      <c r="C75" s="12"/>
      <c r="D75" s="7">
        <v>8916.36</v>
      </c>
      <c r="E75" s="3"/>
      <c r="F75" s="8">
        <f t="shared" si="12"/>
        <v>2.9695461953276363E-2</v>
      </c>
      <c r="G75" s="3"/>
      <c r="H75" s="7">
        <v>4149</v>
      </c>
      <c r="I75" s="3"/>
      <c r="J75" s="8">
        <f t="shared" si="13"/>
        <v>1.0741747572815534E-2</v>
      </c>
      <c r="K75" s="3"/>
      <c r="L75" s="7">
        <f t="shared" si="14"/>
        <v>4767.3600000000006</v>
      </c>
      <c r="M75" s="3"/>
      <c r="N75" s="8">
        <f t="shared" si="15"/>
        <v>1.1490383224873464</v>
      </c>
      <c r="O75" s="12"/>
      <c r="P75" s="7">
        <v>50656.98</v>
      </c>
      <c r="Q75" s="3"/>
      <c r="R75" s="8">
        <f t="shared" si="16"/>
        <v>3.6429914439252593E-2</v>
      </c>
      <c r="S75" s="3"/>
      <c r="T75" s="7">
        <v>34843</v>
      </c>
      <c r="U75" s="3"/>
      <c r="V75" s="8">
        <f t="shared" si="17"/>
        <v>1.9290947101734929E-2</v>
      </c>
      <c r="W75" s="3"/>
      <c r="X75" s="7">
        <f t="shared" si="18"/>
        <v>15813.980000000003</v>
      </c>
      <c r="Y75" s="3"/>
      <c r="Z75" s="8">
        <f t="shared" si="19"/>
        <v>0.45386390379703251</v>
      </c>
    </row>
    <row r="76" spans="1:26" s="69" customFormat="1" ht="15" customHeight="1" outlineLevel="1" collapsed="1" x14ac:dyDescent="0.3">
      <c r="A76" s="25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2">
        <f>SUM(OSRRefD22_13x_0)</f>
        <v>1845.35</v>
      </c>
      <c r="E76" s="2"/>
      <c r="F76" s="6">
        <f t="shared" si="12"/>
        <v>6.1458398623965979E-3</v>
      </c>
      <c r="G76" s="2"/>
      <c r="H76" s="2">
        <f>SUM(OSRRefH22_13x_0)</f>
        <v>0</v>
      </c>
      <c r="I76" s="2"/>
      <c r="J76" s="6">
        <f t="shared" si="13"/>
        <v>0</v>
      </c>
      <c r="K76" s="2"/>
      <c r="L76" s="2">
        <f t="shared" si="14"/>
        <v>1845.35</v>
      </c>
      <c r="M76" s="2"/>
      <c r="N76" s="6">
        <f t="shared" si="15"/>
        <v>0</v>
      </c>
      <c r="O76" s="14"/>
      <c r="P76" s="2">
        <f>SUM(OSRRefP22_13x_0)</f>
        <v>6063.06</v>
      </c>
      <c r="Q76" s="2"/>
      <c r="R76" s="6">
        <f t="shared" si="16"/>
        <v>4.3602432880928714E-3</v>
      </c>
      <c r="S76" s="2"/>
      <c r="T76" s="2">
        <f>SUM(OSRRefT22_13x_0)</f>
        <v>0</v>
      </c>
      <c r="U76" s="2"/>
      <c r="V76" s="6">
        <f t="shared" si="17"/>
        <v>0</v>
      </c>
      <c r="W76" s="2"/>
      <c r="X76" s="2">
        <f t="shared" si="18"/>
        <v>6063.06</v>
      </c>
      <c r="Y76" s="2"/>
      <c r="Z76" s="6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","6254"," - ","ROYALTY &amp; COMMISSIONS")</f>
        <v xml:space="preserve">          6254 - ROYALTY &amp; COMMISSIONS</v>
      </c>
      <c r="C77" s="12"/>
      <c r="D77" s="7">
        <v>1845.35</v>
      </c>
      <c r="E77" s="3"/>
      <c r="F77" s="8">
        <f t="shared" si="12"/>
        <v>6.1458398623965979E-3</v>
      </c>
      <c r="G77" s="3"/>
      <c r="H77" s="7"/>
      <c r="I77" s="3"/>
      <c r="J77" s="8">
        <f t="shared" si="13"/>
        <v>0</v>
      </c>
      <c r="K77" s="3"/>
      <c r="L77" s="7">
        <f t="shared" si="14"/>
        <v>1845.35</v>
      </c>
      <c r="M77" s="3"/>
      <c r="N77" s="8">
        <f t="shared" si="15"/>
        <v>0</v>
      </c>
      <c r="O77" s="12"/>
      <c r="P77" s="7">
        <v>6063.06</v>
      </c>
      <c r="Q77" s="3"/>
      <c r="R77" s="8">
        <f t="shared" si="16"/>
        <v>4.3602432880928714E-3</v>
      </c>
      <c r="S77" s="3"/>
      <c r="T77" s="7"/>
      <c r="U77" s="3"/>
      <c r="V77" s="8">
        <f t="shared" si="17"/>
        <v>0</v>
      </c>
      <c r="W77" s="3"/>
      <c r="X77" s="7">
        <f t="shared" si="18"/>
        <v>6063.06</v>
      </c>
      <c r="Y77" s="3"/>
      <c r="Z77" s="8">
        <f t="shared" si="19"/>
        <v>0</v>
      </c>
    </row>
    <row r="78" spans="1:26" s="69" customFormat="1" ht="15" customHeight="1" outlineLevel="1" collapsed="1" x14ac:dyDescent="0.3">
      <c r="A78" s="25"/>
      <c r="B78" s="14" t="str">
        <f>CONCATENATE("     ","Services                                          ")</f>
        <v xml:space="preserve">     Services                                          </v>
      </c>
      <c r="C78" s="14"/>
      <c r="D78" s="2">
        <f>SUM(OSRRefD22_14x_0)</f>
        <v>7338.3799999999992</v>
      </c>
      <c r="E78" s="2"/>
      <c r="F78" s="6">
        <f t="shared" si="12"/>
        <v>2.4440083631513777E-2</v>
      </c>
      <c r="G78" s="2"/>
      <c r="H78" s="2">
        <f>SUM(OSRRefH22_14x_0)</f>
        <v>12002</v>
      </c>
      <c r="I78" s="2"/>
      <c r="J78" s="6">
        <f t="shared" si="13"/>
        <v>3.1073139158576051E-2</v>
      </c>
      <c r="K78" s="2"/>
      <c r="L78" s="2">
        <f t="shared" si="14"/>
        <v>-4663.6200000000008</v>
      </c>
      <c r="M78" s="2"/>
      <c r="N78" s="6">
        <f t="shared" si="15"/>
        <v>-0.38857023829361781</v>
      </c>
      <c r="O78" s="14"/>
      <c r="P78" s="2">
        <f>SUM(OSRRefP22_14x_0)</f>
        <v>68143.929999999993</v>
      </c>
      <c r="Q78" s="2"/>
      <c r="R78" s="6">
        <f t="shared" si="16"/>
        <v>4.9005636329967114E-2</v>
      </c>
      <c r="S78" s="2"/>
      <c r="T78" s="2">
        <f>SUM(OSRRefT22_14x_0)</f>
        <v>107150</v>
      </c>
      <c r="U78" s="2"/>
      <c r="V78" s="6">
        <f t="shared" si="17"/>
        <v>5.9323966993396024E-2</v>
      </c>
      <c r="W78" s="2"/>
      <c r="X78" s="2">
        <f t="shared" si="18"/>
        <v>-39006.070000000007</v>
      </c>
      <c r="Y78" s="2"/>
      <c r="Z78" s="6">
        <f t="shared" si="19"/>
        <v>-0.36403238450769954</v>
      </c>
    </row>
    <row r="79" spans="1:26" s="70" customFormat="1" ht="15" hidden="1" customHeight="1" outlineLevel="2" x14ac:dyDescent="0.3">
      <c r="A79" s="26"/>
      <c r="B79" s="12" t="str">
        <f>CONCATENATE("          ","6282"," - ","JANITORIAL/EXTERMINATOR EXPENS")</f>
        <v xml:space="preserve">          6282 - JANITORIAL/EXTERMINATOR EXPENS</v>
      </c>
      <c r="C79" s="12"/>
      <c r="D79" s="7">
        <v>1538.6</v>
      </c>
      <c r="E79" s="3"/>
      <c r="F79" s="8">
        <f t="shared" si="12"/>
        <v>5.1242253297658471E-3</v>
      </c>
      <c r="G79" s="3"/>
      <c r="H79" s="7">
        <v>1128</v>
      </c>
      <c r="I79" s="3"/>
      <c r="J79" s="8">
        <f t="shared" si="13"/>
        <v>2.920388349514563E-3</v>
      </c>
      <c r="K79" s="3"/>
      <c r="L79" s="7">
        <f t="shared" si="14"/>
        <v>410.59999999999991</v>
      </c>
      <c r="M79" s="3"/>
      <c r="N79" s="8">
        <f t="shared" si="15"/>
        <v>0.36400709219858146</v>
      </c>
      <c r="O79" s="12"/>
      <c r="P79" s="7">
        <v>11118.76</v>
      </c>
      <c r="Q79" s="3"/>
      <c r="R79" s="8">
        <f t="shared" si="16"/>
        <v>7.9960446807248297E-3</v>
      </c>
      <c r="S79" s="3"/>
      <c r="T79" s="7">
        <v>11180</v>
      </c>
      <c r="U79" s="3"/>
      <c r="V79" s="8">
        <f t="shared" si="17"/>
        <v>6.1898455528340409E-3</v>
      </c>
      <c r="W79" s="3"/>
      <c r="X79" s="7">
        <f t="shared" si="18"/>
        <v>-61.239999999999782</v>
      </c>
      <c r="Y79" s="3"/>
      <c r="Z79" s="8">
        <f t="shared" si="19"/>
        <v>-5.4776386404293189E-3</v>
      </c>
    </row>
    <row r="80" spans="1:26" s="70" customFormat="1" ht="15" hidden="1" customHeight="1" outlineLevel="2" x14ac:dyDescent="0.3">
      <c r="A80" s="26"/>
      <c r="B80" s="12" t="str">
        <f>CONCATENATE("          ","6283"," - ","PLANT SERVICE")</f>
        <v xml:space="preserve">          6283 - PLANT SERVICE</v>
      </c>
      <c r="C80" s="12"/>
      <c r="D80" s="7"/>
      <c r="E80" s="3"/>
      <c r="F80" s="8">
        <f t="shared" si="12"/>
        <v>0</v>
      </c>
      <c r="G80" s="3"/>
      <c r="H80" s="7">
        <v>100</v>
      </c>
      <c r="I80" s="3"/>
      <c r="J80" s="8">
        <f t="shared" si="13"/>
        <v>2.5889967637540451E-4</v>
      </c>
      <c r="K80" s="3"/>
      <c r="L80" s="7">
        <f t="shared" si="14"/>
        <v>-100</v>
      </c>
      <c r="M80" s="3"/>
      <c r="N80" s="8">
        <f t="shared" si="15"/>
        <v>-1</v>
      </c>
      <c r="O80" s="12"/>
      <c r="P80" s="7"/>
      <c r="Q80" s="3"/>
      <c r="R80" s="8">
        <f t="shared" si="16"/>
        <v>0</v>
      </c>
      <c r="S80" s="3"/>
      <c r="T80" s="7">
        <v>1000</v>
      </c>
      <c r="U80" s="3"/>
      <c r="V80" s="8">
        <f t="shared" si="17"/>
        <v>5.5365344837513789E-4</v>
      </c>
      <c r="W80" s="3"/>
      <c r="X80" s="7">
        <f t="shared" si="18"/>
        <v>-1000</v>
      </c>
      <c r="Y80" s="3"/>
      <c r="Z80" s="8">
        <f t="shared" si="19"/>
        <v>-1</v>
      </c>
    </row>
    <row r="81" spans="1:26" s="70" customFormat="1" ht="15" hidden="1" customHeight="1" outlineLevel="2" x14ac:dyDescent="0.3">
      <c r="A81" s="26"/>
      <c r="B81" s="12" t="str">
        <f>CONCATENATE("          ","6284"," - ","TRASH REMOVAL EXPENSE")</f>
        <v xml:space="preserve">          6284 - TRASH REMOVAL EXPENSE</v>
      </c>
      <c r="C81" s="12"/>
      <c r="D81" s="7"/>
      <c r="E81" s="3"/>
      <c r="F81" s="8">
        <f t="shared" si="12"/>
        <v>0</v>
      </c>
      <c r="G81" s="3"/>
      <c r="H81" s="7">
        <v>1000</v>
      </c>
      <c r="I81" s="3"/>
      <c r="J81" s="8">
        <f t="shared" si="13"/>
        <v>2.5889967637540453E-3</v>
      </c>
      <c r="K81" s="3"/>
      <c r="L81" s="7">
        <f t="shared" si="14"/>
        <v>-1000</v>
      </c>
      <c r="M81" s="3"/>
      <c r="N81" s="8">
        <f t="shared" si="15"/>
        <v>-1</v>
      </c>
      <c r="O81" s="12"/>
      <c r="P81" s="7"/>
      <c r="Q81" s="3"/>
      <c r="R81" s="8">
        <f t="shared" si="16"/>
        <v>0</v>
      </c>
      <c r="S81" s="3"/>
      <c r="T81" s="7">
        <v>10000</v>
      </c>
      <c r="U81" s="3"/>
      <c r="V81" s="8">
        <f t="shared" si="17"/>
        <v>5.5365344837513784E-3</v>
      </c>
      <c r="W81" s="3"/>
      <c r="X81" s="7">
        <f t="shared" si="18"/>
        <v>-10000</v>
      </c>
      <c r="Y81" s="3"/>
      <c r="Z81" s="8">
        <f t="shared" si="19"/>
        <v>-1</v>
      </c>
    </row>
    <row r="82" spans="1:26" s="70" customFormat="1" ht="15" hidden="1" customHeight="1" outlineLevel="2" x14ac:dyDescent="0.3">
      <c r="A82" s="26"/>
      <c r="B82" s="12" t="str">
        <f>CONCATENATE("          ","6285"," - ","JANITORIAL SERVICES")</f>
        <v xml:space="preserve">          6285 - JANITORIAL SERVICES</v>
      </c>
      <c r="C82" s="12"/>
      <c r="D82" s="7">
        <v>4101.2</v>
      </c>
      <c r="E82" s="3"/>
      <c r="F82" s="8">
        <f t="shared" si="12"/>
        <v>1.3658828105053745E-2</v>
      </c>
      <c r="G82" s="3"/>
      <c r="H82" s="7">
        <v>9099</v>
      </c>
      <c r="I82" s="3"/>
      <c r="J82" s="8">
        <f t="shared" si="13"/>
        <v>2.3557281553398059E-2</v>
      </c>
      <c r="K82" s="3"/>
      <c r="L82" s="7">
        <f t="shared" si="14"/>
        <v>-4997.8</v>
      </c>
      <c r="M82" s="3"/>
      <c r="N82" s="8">
        <f t="shared" si="15"/>
        <v>-0.54926915045609415</v>
      </c>
      <c r="O82" s="12"/>
      <c r="P82" s="7">
        <v>51909.38</v>
      </c>
      <c r="Q82" s="3"/>
      <c r="R82" s="8">
        <f t="shared" si="16"/>
        <v>3.7330576595656695E-2</v>
      </c>
      <c r="S82" s="3"/>
      <c r="T82" s="7">
        <v>78807</v>
      </c>
      <c r="U82" s="3"/>
      <c r="V82" s="8">
        <f t="shared" si="17"/>
        <v>4.3631767306099488E-2</v>
      </c>
      <c r="W82" s="3"/>
      <c r="X82" s="7">
        <f t="shared" si="18"/>
        <v>-26897.620000000003</v>
      </c>
      <c r="Y82" s="3"/>
      <c r="Z82" s="8">
        <f t="shared" si="19"/>
        <v>-0.34131003591051562</v>
      </c>
    </row>
    <row r="83" spans="1:26" s="70" customFormat="1" ht="15" hidden="1" customHeight="1" outlineLevel="2" x14ac:dyDescent="0.3">
      <c r="A83" s="26"/>
      <c r="B83" s="12" t="str">
        <f>CONCATENATE("          ","6286"," - ","LAUNDRY EXPENSE")</f>
        <v xml:space="preserve">          6286 - LAUNDRY EXPENSE</v>
      </c>
      <c r="C83" s="12"/>
      <c r="D83" s="7">
        <v>1698.58</v>
      </c>
      <c r="E83" s="3"/>
      <c r="F83" s="8">
        <f t="shared" si="12"/>
        <v>5.6570301966941848E-3</v>
      </c>
      <c r="G83" s="3"/>
      <c r="H83" s="7">
        <v>675</v>
      </c>
      <c r="I83" s="3"/>
      <c r="J83" s="8">
        <f t="shared" si="13"/>
        <v>1.7475728155339806E-3</v>
      </c>
      <c r="K83" s="3"/>
      <c r="L83" s="7">
        <f t="shared" si="14"/>
        <v>1023.5799999999999</v>
      </c>
      <c r="M83" s="3"/>
      <c r="N83" s="8">
        <f t="shared" si="15"/>
        <v>1.5164148148148147</v>
      </c>
      <c r="O83" s="12"/>
      <c r="P83" s="7">
        <v>5115.79</v>
      </c>
      <c r="Q83" s="3"/>
      <c r="R83" s="8">
        <f t="shared" si="16"/>
        <v>3.6790150535855868E-3</v>
      </c>
      <c r="S83" s="3"/>
      <c r="T83" s="7">
        <v>6163</v>
      </c>
      <c r="U83" s="3"/>
      <c r="V83" s="8">
        <f t="shared" si="17"/>
        <v>3.4121662023359747E-3</v>
      </c>
      <c r="W83" s="3"/>
      <c r="X83" s="7">
        <f t="shared" si="18"/>
        <v>-1047.21</v>
      </c>
      <c r="Y83" s="3"/>
      <c r="Z83" s="8">
        <f t="shared" si="19"/>
        <v>-0.16991887067986372</v>
      </c>
    </row>
    <row r="84" spans="1:26" s="69" customFormat="1" ht="15" customHeight="1" outlineLevel="1" collapsed="1" x14ac:dyDescent="0.3">
      <c r="A84" s="25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2">
        <f>SUM(OSRRefD22_15x_0)</f>
        <v>560.5</v>
      </c>
      <c r="E84" s="2"/>
      <c r="F84" s="6">
        <f t="shared" si="12"/>
        <v>1.8667153888819428E-3</v>
      </c>
      <c r="G84" s="2"/>
      <c r="H84" s="2">
        <f>SUM(OSRRefH22_15x_0)</f>
        <v>610</v>
      </c>
      <c r="I84" s="2"/>
      <c r="J84" s="6">
        <f t="shared" si="13"/>
        <v>1.5792880258899676E-3</v>
      </c>
      <c r="K84" s="2"/>
      <c r="L84" s="2">
        <f t="shared" si="14"/>
        <v>-49.5</v>
      </c>
      <c r="M84" s="2"/>
      <c r="N84" s="6">
        <f t="shared" si="15"/>
        <v>-8.1147540983606561E-2</v>
      </c>
      <c r="O84" s="14"/>
      <c r="P84" s="2">
        <f>SUM(OSRRefP22_15x_0)</f>
        <v>6407.4</v>
      </c>
      <c r="Q84" s="2"/>
      <c r="R84" s="6">
        <f t="shared" si="16"/>
        <v>4.6078750406768629E-3</v>
      </c>
      <c r="S84" s="2"/>
      <c r="T84" s="2">
        <f>SUM(OSRRefT22_15x_0)</f>
        <v>5870</v>
      </c>
      <c r="U84" s="2"/>
      <c r="V84" s="6">
        <f t="shared" si="17"/>
        <v>3.2499457419620592E-3</v>
      </c>
      <c r="W84" s="2"/>
      <c r="X84" s="2">
        <f t="shared" si="18"/>
        <v>537.39999999999964</v>
      </c>
      <c r="Y84" s="2"/>
      <c r="Z84" s="6">
        <f t="shared" si="19"/>
        <v>9.1550255536626851E-2</v>
      </c>
    </row>
    <row r="85" spans="1:26" s="70" customFormat="1" ht="15" hidden="1" customHeight="1" outlineLevel="2" x14ac:dyDescent="0.3">
      <c r="A85" s="26"/>
      <c r="B85" s="12" t="str">
        <f>CONCATENATE("          ","6275"," - ","SUBSCRIPTIONS")</f>
        <v xml:space="preserve">          6275 - SUBSCRIPTIONS</v>
      </c>
      <c r="C85" s="12"/>
      <c r="D85" s="7">
        <v>560.5</v>
      </c>
      <c r="E85" s="3"/>
      <c r="F85" s="8">
        <f t="shared" si="12"/>
        <v>1.8667153888819428E-3</v>
      </c>
      <c r="G85" s="3"/>
      <c r="H85" s="7">
        <v>610</v>
      </c>
      <c r="I85" s="3"/>
      <c r="J85" s="8">
        <f t="shared" si="13"/>
        <v>1.5792880258899676E-3</v>
      </c>
      <c r="K85" s="3"/>
      <c r="L85" s="7">
        <f t="shared" si="14"/>
        <v>-49.5</v>
      </c>
      <c r="M85" s="3"/>
      <c r="N85" s="8">
        <f t="shared" si="15"/>
        <v>-8.1147540983606561E-2</v>
      </c>
      <c r="O85" s="12"/>
      <c r="P85" s="7">
        <v>6407.4</v>
      </c>
      <c r="Q85" s="3"/>
      <c r="R85" s="8">
        <f t="shared" si="16"/>
        <v>4.6078750406768629E-3</v>
      </c>
      <c r="S85" s="3"/>
      <c r="T85" s="7">
        <v>5870</v>
      </c>
      <c r="U85" s="3"/>
      <c r="V85" s="8">
        <f t="shared" si="17"/>
        <v>3.2499457419620592E-3</v>
      </c>
      <c r="W85" s="3"/>
      <c r="X85" s="7">
        <f t="shared" si="18"/>
        <v>537.39999999999964</v>
      </c>
      <c r="Y85" s="3"/>
      <c r="Z85" s="8">
        <f t="shared" si="19"/>
        <v>9.1550255536626851E-2</v>
      </c>
    </row>
    <row r="86" spans="1:26" s="69" customFormat="1" ht="15" customHeight="1" outlineLevel="1" collapsed="1" x14ac:dyDescent="0.3">
      <c r="A86" s="25"/>
      <c r="B86" s="14" t="str">
        <f>CONCATENATE("     ","Supplies                                          ")</f>
        <v xml:space="preserve">     Supplies                                          </v>
      </c>
      <c r="C86" s="14"/>
      <c r="D86" s="2">
        <f>SUM(OSRRefD22_16x_0)</f>
        <v>4498.2399999999989</v>
      </c>
      <c r="E86" s="2"/>
      <c r="F86" s="6">
        <f t="shared" si="12"/>
        <v>1.4981148672407331E-2</v>
      </c>
      <c r="G86" s="2"/>
      <c r="H86" s="2">
        <f>SUM(OSRRefH22_16x_0)</f>
        <v>1225</v>
      </c>
      <c r="I86" s="2"/>
      <c r="J86" s="6">
        <f t="shared" si="13"/>
        <v>3.1715210355987055E-3</v>
      </c>
      <c r="K86" s="2"/>
      <c r="L86" s="2">
        <f t="shared" si="14"/>
        <v>3273.2399999999989</v>
      </c>
      <c r="M86" s="2"/>
      <c r="N86" s="6">
        <f t="shared" si="15"/>
        <v>2.6720326530612235</v>
      </c>
      <c r="O86" s="14"/>
      <c r="P86" s="2">
        <f>SUM(OSRRefP22_16x_0)</f>
        <v>33618.700000000004</v>
      </c>
      <c r="Q86" s="2"/>
      <c r="R86" s="6">
        <f t="shared" si="16"/>
        <v>2.4176853112027229E-2</v>
      </c>
      <c r="S86" s="2"/>
      <c r="T86" s="2">
        <f>SUM(OSRRefT22_16x_0)</f>
        <v>28648</v>
      </c>
      <c r="U86" s="2"/>
      <c r="V86" s="6">
        <f t="shared" si="17"/>
        <v>1.586106398905095E-2</v>
      </c>
      <c r="W86" s="2"/>
      <c r="X86" s="2">
        <f t="shared" si="18"/>
        <v>4970.7000000000044</v>
      </c>
      <c r="Y86" s="2"/>
      <c r="Z86" s="6">
        <f t="shared" si="19"/>
        <v>0.17350949455459383</v>
      </c>
    </row>
    <row r="87" spans="1:26" s="70" customFormat="1" ht="15" hidden="1" customHeight="1" outlineLevel="2" x14ac:dyDescent="0.3">
      <c r="A87" s="26"/>
      <c r="B87" s="12" t="str">
        <f>CONCATENATE("          ","6234"," - ","EXPENDABLE SUPPLIES &amp; EQUIPMEN")</f>
        <v xml:space="preserve">          6234 - EXPENDABLE SUPPLIES &amp; EQUIPMEN</v>
      </c>
      <c r="C87" s="12"/>
      <c r="D87" s="7">
        <v>175.34</v>
      </c>
      <c r="E87" s="3"/>
      <c r="F87" s="8">
        <f t="shared" si="12"/>
        <v>5.8396052861116841E-4</v>
      </c>
      <c r="G87" s="3"/>
      <c r="H87" s="7"/>
      <c r="I87" s="3"/>
      <c r="J87" s="8">
        <f t="shared" si="13"/>
        <v>0</v>
      </c>
      <c r="K87" s="3"/>
      <c r="L87" s="7">
        <f t="shared" si="14"/>
        <v>175.34</v>
      </c>
      <c r="M87" s="3"/>
      <c r="N87" s="8">
        <f t="shared" si="15"/>
        <v>0</v>
      </c>
      <c r="O87" s="12"/>
      <c r="P87" s="7">
        <v>341.84</v>
      </c>
      <c r="Q87" s="3"/>
      <c r="R87" s="8">
        <f t="shared" si="16"/>
        <v>2.4583388018618765E-4</v>
      </c>
      <c r="S87" s="3"/>
      <c r="T87" s="7"/>
      <c r="U87" s="3"/>
      <c r="V87" s="8">
        <f t="shared" si="17"/>
        <v>0</v>
      </c>
      <c r="W87" s="3"/>
      <c r="X87" s="7">
        <f t="shared" si="18"/>
        <v>341.84</v>
      </c>
      <c r="Y87" s="3"/>
      <c r="Z87" s="8">
        <f t="shared" si="19"/>
        <v>0</v>
      </c>
    </row>
    <row r="88" spans="1:26" s="70" customFormat="1" ht="15" hidden="1" customHeight="1" outlineLevel="2" x14ac:dyDescent="0.3">
      <c r="A88" s="26"/>
      <c r="B88" s="12" t="str">
        <f>CONCATENATE("          ","6235"," - ","COVID-19 EXPENSES")</f>
        <v xml:space="preserve">          6235 - COVID-19 EXPENSES</v>
      </c>
      <c r="C88" s="12"/>
      <c r="D88" s="7"/>
      <c r="E88" s="3"/>
      <c r="F88" s="8">
        <f t="shared" si="12"/>
        <v>0</v>
      </c>
      <c r="G88" s="3"/>
      <c r="H88" s="7">
        <v>250</v>
      </c>
      <c r="I88" s="3"/>
      <c r="J88" s="8">
        <f t="shared" si="13"/>
        <v>6.4724919093851134E-4</v>
      </c>
      <c r="K88" s="3"/>
      <c r="L88" s="7">
        <f t="shared" si="14"/>
        <v>-250</v>
      </c>
      <c r="M88" s="3"/>
      <c r="N88" s="8">
        <f t="shared" si="15"/>
        <v>-1</v>
      </c>
      <c r="O88" s="12"/>
      <c r="P88" s="7">
        <v>619.08000000000004</v>
      </c>
      <c r="Q88" s="3"/>
      <c r="R88" s="8">
        <f t="shared" si="16"/>
        <v>4.452107376131087E-4</v>
      </c>
      <c r="S88" s="3"/>
      <c r="T88" s="7">
        <v>2750</v>
      </c>
      <c r="U88" s="3"/>
      <c r="V88" s="8">
        <f t="shared" si="17"/>
        <v>1.522546983031629E-3</v>
      </c>
      <c r="W88" s="3"/>
      <c r="X88" s="7">
        <f t="shared" si="18"/>
        <v>-2130.92</v>
      </c>
      <c r="Y88" s="3"/>
      <c r="Z88" s="8">
        <f t="shared" si="19"/>
        <v>-0.77488000000000001</v>
      </c>
    </row>
    <row r="89" spans="1:26" s="70" customFormat="1" ht="15" hidden="1" customHeight="1" outlineLevel="2" x14ac:dyDescent="0.3">
      <c r="A89" s="26"/>
      <c r="B89" s="12" t="str">
        <f>CONCATENATE("          ","6237"," - ","JANITORIAL SUPPLIES")</f>
        <v xml:space="preserve">          6237 - JANITORIAL SUPPLIES</v>
      </c>
      <c r="C89" s="12"/>
      <c r="D89" s="7">
        <v>953.14</v>
      </c>
      <c r="E89" s="3"/>
      <c r="F89" s="8">
        <f t="shared" si="12"/>
        <v>3.1743819906493043E-3</v>
      </c>
      <c r="G89" s="3"/>
      <c r="H89" s="7">
        <v>225</v>
      </c>
      <c r="I89" s="3"/>
      <c r="J89" s="8">
        <f t="shared" si="13"/>
        <v>5.8252427184466023E-4</v>
      </c>
      <c r="K89" s="3"/>
      <c r="L89" s="7">
        <f t="shared" si="14"/>
        <v>728.14</v>
      </c>
      <c r="M89" s="3"/>
      <c r="N89" s="8">
        <f t="shared" si="15"/>
        <v>3.2361777777777778</v>
      </c>
      <c r="O89" s="12"/>
      <c r="P89" s="7">
        <v>7827.76</v>
      </c>
      <c r="Q89" s="3"/>
      <c r="R89" s="8">
        <f t="shared" si="16"/>
        <v>5.6293254562550677E-3</v>
      </c>
      <c r="S89" s="3"/>
      <c r="T89" s="7">
        <v>3728</v>
      </c>
      <c r="U89" s="3"/>
      <c r="V89" s="8">
        <f t="shared" si="17"/>
        <v>2.0640200555425139E-3</v>
      </c>
      <c r="W89" s="3"/>
      <c r="X89" s="7">
        <f t="shared" si="18"/>
        <v>4099.76</v>
      </c>
      <c r="Y89" s="3"/>
      <c r="Z89" s="8">
        <f t="shared" si="19"/>
        <v>1.0997210300429185</v>
      </c>
    </row>
    <row r="90" spans="1:26" s="70" customFormat="1" ht="15" hidden="1" customHeight="1" outlineLevel="2" x14ac:dyDescent="0.3">
      <c r="A90" s="26"/>
      <c r="B90" s="12" t="str">
        <f>CONCATENATE("          ","6239"," - ","KITCHEN SUPPLIES")</f>
        <v xml:space="preserve">          6239 - KITCHEN SUPPLIES</v>
      </c>
      <c r="C90" s="12"/>
      <c r="D90" s="7">
        <v>1727.21</v>
      </c>
      <c r="E90" s="3"/>
      <c r="F90" s="8">
        <f t="shared" ref="F90:F106" si="20">IF(D$12=0,0,D90/D$12)</f>
        <v>5.752380886406388E-3</v>
      </c>
      <c r="G90" s="3"/>
      <c r="H90" s="7"/>
      <c r="I90" s="3"/>
      <c r="J90" s="8">
        <f t="shared" ref="J90:J106" si="21">IF(H$12=0,0,H90/H$12)</f>
        <v>0</v>
      </c>
      <c r="K90" s="3"/>
      <c r="L90" s="7">
        <f t="shared" ref="L90:L106" si="22">+D90-H90</f>
        <v>1727.21</v>
      </c>
      <c r="M90" s="3"/>
      <c r="N90" s="8">
        <f t="shared" ref="N90:N106" si="23">IF(H90=0,0,L90/H90)</f>
        <v>0</v>
      </c>
      <c r="O90" s="12"/>
      <c r="P90" s="7">
        <v>8928.15</v>
      </c>
      <c r="Q90" s="3"/>
      <c r="R90" s="8">
        <f t="shared" ref="R90:R106" si="24">IF(P$12=0,0,P90/P$12)</f>
        <v>6.4206697793830775E-3</v>
      </c>
      <c r="S90" s="3"/>
      <c r="T90" s="7">
        <v>5349</v>
      </c>
      <c r="U90" s="3"/>
      <c r="V90" s="8">
        <f t="shared" ref="V90:V106" si="25">IF(T$12=0,0,T90/T$12)</f>
        <v>2.9614922953586126E-3</v>
      </c>
      <c r="W90" s="3"/>
      <c r="X90" s="7">
        <f t="shared" ref="X90:X106" si="26">+P90-T90</f>
        <v>3579.1499999999996</v>
      </c>
      <c r="Y90" s="3"/>
      <c r="Z90" s="8">
        <f t="shared" ref="Z90:Z106" si="27">IF(T90=0,0,X90/T90)</f>
        <v>0.66912507010656186</v>
      </c>
    </row>
    <row r="91" spans="1:26" s="70" customFormat="1" ht="15" hidden="1" customHeight="1" outlineLevel="2" x14ac:dyDescent="0.3">
      <c r="A91" s="26"/>
      <c r="B91" s="12" t="str">
        <f>CONCATENATE("          ","6241"," - ","OFFICE EXPENSE")</f>
        <v xml:space="preserve">          6241 - OFFICE EXPENSE</v>
      </c>
      <c r="C91" s="12"/>
      <c r="D91" s="7">
        <v>97.93</v>
      </c>
      <c r="E91" s="3"/>
      <c r="F91" s="8">
        <f t="shared" si="20"/>
        <v>3.2615064769528758E-4</v>
      </c>
      <c r="G91" s="3"/>
      <c r="H91" s="7"/>
      <c r="I91" s="3"/>
      <c r="J91" s="8">
        <f t="shared" si="21"/>
        <v>0</v>
      </c>
      <c r="K91" s="3"/>
      <c r="L91" s="7">
        <f t="shared" si="22"/>
        <v>97.93</v>
      </c>
      <c r="M91" s="3"/>
      <c r="N91" s="8">
        <f t="shared" si="23"/>
        <v>0</v>
      </c>
      <c r="O91" s="12"/>
      <c r="P91" s="7">
        <v>7613.4</v>
      </c>
      <c r="Q91" s="3"/>
      <c r="R91" s="8">
        <f t="shared" si="24"/>
        <v>5.4751686853777241E-3</v>
      </c>
      <c r="S91" s="3"/>
      <c r="T91" s="7">
        <v>3177</v>
      </c>
      <c r="U91" s="3"/>
      <c r="V91" s="8">
        <f t="shared" si="25"/>
        <v>1.7589570054878129E-3</v>
      </c>
      <c r="W91" s="3"/>
      <c r="X91" s="7">
        <f t="shared" si="26"/>
        <v>4436.3999999999996</v>
      </c>
      <c r="Y91" s="3"/>
      <c r="Z91" s="8">
        <f t="shared" si="27"/>
        <v>1.3964117091595845</v>
      </c>
    </row>
    <row r="92" spans="1:26" s="70" customFormat="1" ht="15" hidden="1" customHeight="1" outlineLevel="2" x14ac:dyDescent="0.3">
      <c r="A92" s="26"/>
      <c r="B92" s="12" t="str">
        <f>CONCATENATE("          ","6243"," - ","PAPER SUPPLIES")</f>
        <v xml:space="preserve">          6243 - PAPER SUPPLIES</v>
      </c>
      <c r="C92" s="12"/>
      <c r="D92" s="7">
        <v>1449.52</v>
      </c>
      <c r="E92" s="3"/>
      <c r="F92" s="8">
        <f t="shared" si="20"/>
        <v>4.8275491355792219E-3</v>
      </c>
      <c r="G92" s="3"/>
      <c r="H92" s="7">
        <v>600</v>
      </c>
      <c r="I92" s="3"/>
      <c r="J92" s="8">
        <f t="shared" si="21"/>
        <v>1.5533980582524273E-3</v>
      </c>
      <c r="K92" s="3"/>
      <c r="L92" s="7">
        <f t="shared" si="22"/>
        <v>849.52</v>
      </c>
      <c r="M92" s="3"/>
      <c r="N92" s="8">
        <f t="shared" si="23"/>
        <v>1.4158666666666666</v>
      </c>
      <c r="O92" s="12"/>
      <c r="P92" s="7">
        <v>3271.43</v>
      </c>
      <c r="Q92" s="3"/>
      <c r="R92" s="8">
        <f t="shared" si="24"/>
        <v>2.3526454793397493E-3</v>
      </c>
      <c r="S92" s="3"/>
      <c r="T92" s="7">
        <v>7433</v>
      </c>
      <c r="U92" s="3"/>
      <c r="V92" s="8">
        <f t="shared" si="25"/>
        <v>4.1153060817723996E-3</v>
      </c>
      <c r="W92" s="3"/>
      <c r="X92" s="7">
        <f t="shared" si="26"/>
        <v>-4161.57</v>
      </c>
      <c r="Y92" s="3"/>
      <c r="Z92" s="8">
        <f t="shared" si="27"/>
        <v>-0.55987757298533558</v>
      </c>
    </row>
    <row r="93" spans="1:26" s="70" customFormat="1" ht="15" hidden="1" customHeight="1" outlineLevel="2" x14ac:dyDescent="0.3">
      <c r="A93" s="26"/>
      <c r="B93" s="12" t="str">
        <f>CONCATENATE("          ","6244"," - ","SAFETY SUPPLY EXPENSE")</f>
        <v xml:space="preserve">          6244 - SAFETY SUPPLY EXPENSE</v>
      </c>
      <c r="C93" s="12"/>
      <c r="D93" s="7"/>
      <c r="E93" s="3"/>
      <c r="F93" s="8">
        <f t="shared" si="20"/>
        <v>0</v>
      </c>
      <c r="G93" s="3"/>
      <c r="H93" s="7">
        <v>50</v>
      </c>
      <c r="I93" s="3"/>
      <c r="J93" s="8">
        <f t="shared" si="21"/>
        <v>1.2944983818770226E-4</v>
      </c>
      <c r="K93" s="3"/>
      <c r="L93" s="7">
        <f t="shared" si="22"/>
        <v>-50</v>
      </c>
      <c r="M93" s="3"/>
      <c r="N93" s="8">
        <f t="shared" si="23"/>
        <v>-1</v>
      </c>
      <c r="O93" s="12"/>
      <c r="P93" s="7"/>
      <c r="Q93" s="3"/>
      <c r="R93" s="8">
        <f t="shared" si="24"/>
        <v>0</v>
      </c>
      <c r="S93" s="3"/>
      <c r="T93" s="7">
        <v>150</v>
      </c>
      <c r="U93" s="3"/>
      <c r="V93" s="8">
        <f t="shared" si="25"/>
        <v>8.304801725627068E-5</v>
      </c>
      <c r="W93" s="3"/>
      <c r="X93" s="7">
        <f t="shared" si="26"/>
        <v>-150</v>
      </c>
      <c r="Y93" s="3"/>
      <c r="Z93" s="8">
        <f t="shared" si="27"/>
        <v>-1</v>
      </c>
    </row>
    <row r="94" spans="1:26" s="70" customFormat="1" ht="15" hidden="1" customHeight="1" outlineLevel="2" x14ac:dyDescent="0.3">
      <c r="A94" s="26"/>
      <c r="B94" s="12" t="str">
        <f>CONCATENATE("          ","6245"," - ","PRINTING")</f>
        <v xml:space="preserve">          6245 - PRINTING</v>
      </c>
      <c r="C94" s="12"/>
      <c r="D94" s="7"/>
      <c r="E94" s="3"/>
      <c r="F94" s="8">
        <f t="shared" si="20"/>
        <v>0</v>
      </c>
      <c r="G94" s="3"/>
      <c r="H94" s="7">
        <v>100</v>
      </c>
      <c r="I94" s="3"/>
      <c r="J94" s="8">
        <f t="shared" si="21"/>
        <v>2.5889967637540451E-4</v>
      </c>
      <c r="K94" s="3"/>
      <c r="L94" s="7">
        <f t="shared" si="22"/>
        <v>-100</v>
      </c>
      <c r="M94" s="3"/>
      <c r="N94" s="8">
        <f t="shared" si="23"/>
        <v>-1</v>
      </c>
      <c r="O94" s="12"/>
      <c r="P94" s="7">
        <v>1071</v>
      </c>
      <c r="Q94" s="3"/>
      <c r="R94" s="8">
        <f t="shared" si="24"/>
        <v>7.7020853521942139E-4</v>
      </c>
      <c r="S94" s="3"/>
      <c r="T94" s="7">
        <v>1800</v>
      </c>
      <c r="U94" s="3"/>
      <c r="V94" s="8">
        <f t="shared" si="25"/>
        <v>9.9657620707524811E-4</v>
      </c>
      <c r="W94" s="3"/>
      <c r="X94" s="7">
        <f t="shared" si="26"/>
        <v>-729</v>
      </c>
      <c r="Y94" s="3"/>
      <c r="Z94" s="8">
        <f t="shared" si="27"/>
        <v>-0.40500000000000003</v>
      </c>
    </row>
    <row r="95" spans="1:26" s="70" customFormat="1" ht="15" hidden="1" customHeight="1" outlineLevel="2" x14ac:dyDescent="0.3">
      <c r="A95" s="26"/>
      <c r="B95" s="12" t="str">
        <f>CONCATENATE("          ","6247"," - ","STORE SUPPLIES")</f>
        <v xml:space="preserve">          6247 - STORE SUPPLIES</v>
      </c>
      <c r="C95" s="12"/>
      <c r="D95" s="7">
        <v>-103.35</v>
      </c>
      <c r="E95" s="3"/>
      <c r="F95" s="8">
        <f t="shared" si="20"/>
        <v>-3.4420166894014056E-4</v>
      </c>
      <c r="G95" s="3"/>
      <c r="H95" s="7"/>
      <c r="I95" s="3"/>
      <c r="J95" s="8">
        <f t="shared" si="21"/>
        <v>0</v>
      </c>
      <c r="K95" s="3"/>
      <c r="L95" s="7">
        <f t="shared" si="22"/>
        <v>-103.35</v>
      </c>
      <c r="M95" s="3"/>
      <c r="N95" s="8">
        <f t="shared" si="23"/>
        <v>0</v>
      </c>
      <c r="O95" s="12"/>
      <c r="P95" s="7">
        <v>957.59</v>
      </c>
      <c r="Q95" s="3"/>
      <c r="R95" s="8">
        <f t="shared" si="24"/>
        <v>6.8864985176542084E-4</v>
      </c>
      <c r="S95" s="3"/>
      <c r="T95" s="7">
        <v>411</v>
      </c>
      <c r="U95" s="3"/>
      <c r="V95" s="8">
        <f t="shared" si="25"/>
        <v>2.2755156728218167E-4</v>
      </c>
      <c r="W95" s="3"/>
      <c r="X95" s="7">
        <f t="shared" si="26"/>
        <v>546.59</v>
      </c>
      <c r="Y95" s="3"/>
      <c r="Z95" s="8">
        <f t="shared" si="27"/>
        <v>1.3299026763990269</v>
      </c>
    </row>
    <row r="96" spans="1:26" s="70" customFormat="1" ht="15" hidden="1" customHeight="1" outlineLevel="2" x14ac:dyDescent="0.3">
      <c r="A96" s="26"/>
      <c r="B96" s="12" t="str">
        <f>CONCATENATE("          ","6248"," - ","UNIFORMS")</f>
        <v xml:space="preserve">          6248 - UNIFORMS</v>
      </c>
      <c r="C96" s="12"/>
      <c r="D96" s="7">
        <v>198.45</v>
      </c>
      <c r="E96" s="3"/>
      <c r="F96" s="8">
        <f t="shared" si="20"/>
        <v>6.6092715240610451E-4</v>
      </c>
      <c r="G96" s="3"/>
      <c r="H96" s="7"/>
      <c r="I96" s="3"/>
      <c r="J96" s="8">
        <f t="shared" si="21"/>
        <v>0</v>
      </c>
      <c r="K96" s="3"/>
      <c r="L96" s="7">
        <f t="shared" si="22"/>
        <v>198.45</v>
      </c>
      <c r="M96" s="3"/>
      <c r="N96" s="8">
        <f t="shared" si="23"/>
        <v>0</v>
      </c>
      <c r="O96" s="12"/>
      <c r="P96" s="7">
        <v>2988.45</v>
      </c>
      <c r="Q96" s="3"/>
      <c r="R96" s="8">
        <f t="shared" si="24"/>
        <v>2.149140706887469E-3</v>
      </c>
      <c r="S96" s="3"/>
      <c r="T96" s="7">
        <v>3850</v>
      </c>
      <c r="U96" s="3"/>
      <c r="V96" s="8">
        <f t="shared" si="25"/>
        <v>2.1315657762442809E-3</v>
      </c>
      <c r="W96" s="3"/>
      <c r="X96" s="7">
        <f t="shared" si="26"/>
        <v>-861.55000000000018</v>
      </c>
      <c r="Y96" s="3"/>
      <c r="Z96" s="8">
        <f t="shared" si="27"/>
        <v>-0.22377922077922083</v>
      </c>
    </row>
    <row r="97" spans="1:26" s="69" customFormat="1" ht="15" customHeight="1" outlineLevel="1" collapsed="1" x14ac:dyDescent="0.3">
      <c r="A97" s="25"/>
      <c r="B97" s="14" t="str">
        <f>CONCATENATE("     ","Telephone/Data Lines                              ")</f>
        <v xml:space="preserve">     Telephone/Data Lines                              </v>
      </c>
      <c r="C97" s="14"/>
      <c r="D97" s="2">
        <f>SUM(OSRRefD22_17x_0)</f>
        <v>1038</v>
      </c>
      <c r="E97" s="2"/>
      <c r="F97" s="6">
        <f t="shared" si="20"/>
        <v>3.4570036996600479E-3</v>
      </c>
      <c r="G97" s="2"/>
      <c r="H97" s="2">
        <f>SUM(OSRRefH22_17x_0)</f>
        <v>360</v>
      </c>
      <c r="I97" s="2"/>
      <c r="J97" s="6">
        <f t="shared" si="21"/>
        <v>9.3203883495145633E-4</v>
      </c>
      <c r="K97" s="2"/>
      <c r="L97" s="2">
        <f t="shared" si="22"/>
        <v>678</v>
      </c>
      <c r="M97" s="2"/>
      <c r="N97" s="6">
        <f t="shared" si="23"/>
        <v>1.8833333333333333</v>
      </c>
      <c r="O97" s="14"/>
      <c r="P97" s="2">
        <f>SUM(OSRRefP22_17x_0)</f>
        <v>6926.54</v>
      </c>
      <c r="Q97" s="2"/>
      <c r="R97" s="6">
        <f t="shared" si="24"/>
        <v>4.9812140313153412E-3</v>
      </c>
      <c r="S97" s="2"/>
      <c r="T97" s="2">
        <f>SUM(OSRRefT22_17x_0)</f>
        <v>4050</v>
      </c>
      <c r="U97" s="2"/>
      <c r="V97" s="6">
        <f t="shared" si="25"/>
        <v>2.2422964659193083E-3</v>
      </c>
      <c r="W97" s="2"/>
      <c r="X97" s="2">
        <f t="shared" si="26"/>
        <v>2876.54</v>
      </c>
      <c r="Y97" s="2"/>
      <c r="Z97" s="6">
        <f t="shared" si="27"/>
        <v>0.71025679012345677</v>
      </c>
    </row>
    <row r="98" spans="1:26" s="70" customFormat="1" ht="15" hidden="1" customHeight="1" outlineLevel="2" x14ac:dyDescent="0.3">
      <c r="A98" s="26"/>
      <c r="B98" s="12" t="str">
        <f>CONCATENATE("          ","6303"," - ","DATA PHONE LINES")</f>
        <v xml:space="preserve">          6303 - DATA PHONE LINES</v>
      </c>
      <c r="C98" s="12"/>
      <c r="D98" s="7"/>
      <c r="E98" s="3"/>
      <c r="F98" s="8">
        <f t="shared" si="20"/>
        <v>0</v>
      </c>
      <c r="G98" s="3"/>
      <c r="H98" s="7">
        <v>135</v>
      </c>
      <c r="I98" s="3"/>
      <c r="J98" s="8">
        <f t="shared" si="21"/>
        <v>3.495145631067961E-4</v>
      </c>
      <c r="K98" s="3"/>
      <c r="L98" s="7">
        <f t="shared" si="22"/>
        <v>-135</v>
      </c>
      <c r="M98" s="3"/>
      <c r="N98" s="8">
        <f t="shared" si="23"/>
        <v>-1</v>
      </c>
      <c r="O98" s="12"/>
      <c r="P98" s="7"/>
      <c r="Q98" s="3"/>
      <c r="R98" s="8">
        <f t="shared" si="24"/>
        <v>0</v>
      </c>
      <c r="S98" s="3"/>
      <c r="T98" s="7">
        <v>1350</v>
      </c>
      <c r="U98" s="3"/>
      <c r="V98" s="8">
        <f t="shared" si="25"/>
        <v>7.4743215530643614E-4</v>
      </c>
      <c r="W98" s="3"/>
      <c r="X98" s="7">
        <f t="shared" si="26"/>
        <v>-1350</v>
      </c>
      <c r="Y98" s="3"/>
      <c r="Z98" s="8">
        <f t="shared" si="27"/>
        <v>-1</v>
      </c>
    </row>
    <row r="99" spans="1:26" s="70" customFormat="1" ht="15" hidden="1" customHeight="1" outlineLevel="2" x14ac:dyDescent="0.3">
      <c r="A99" s="26"/>
      <c r="B99" s="12" t="str">
        <f>CONCATENATE("          ","6309"," - ","TELEPHONE")</f>
        <v xml:space="preserve">          6309 - TELEPHONE</v>
      </c>
      <c r="C99" s="12"/>
      <c r="D99" s="7">
        <v>1038</v>
      </c>
      <c r="E99" s="3"/>
      <c r="F99" s="8">
        <f t="shared" si="20"/>
        <v>3.4570036996600479E-3</v>
      </c>
      <c r="G99" s="3"/>
      <c r="H99" s="7">
        <v>225</v>
      </c>
      <c r="I99" s="3"/>
      <c r="J99" s="8">
        <f t="shared" si="21"/>
        <v>5.8252427184466023E-4</v>
      </c>
      <c r="K99" s="3"/>
      <c r="L99" s="7">
        <f t="shared" si="22"/>
        <v>813</v>
      </c>
      <c r="M99" s="3"/>
      <c r="N99" s="8">
        <f t="shared" si="23"/>
        <v>3.6133333333333333</v>
      </c>
      <c r="O99" s="12"/>
      <c r="P99" s="7">
        <v>6926.54</v>
      </c>
      <c r="Q99" s="3"/>
      <c r="R99" s="8">
        <f t="shared" si="24"/>
        <v>4.9812140313153412E-3</v>
      </c>
      <c r="S99" s="3"/>
      <c r="T99" s="7">
        <v>2700</v>
      </c>
      <c r="U99" s="3"/>
      <c r="V99" s="8">
        <f t="shared" si="25"/>
        <v>1.4948643106128723E-3</v>
      </c>
      <c r="W99" s="3"/>
      <c r="X99" s="7">
        <f t="shared" si="26"/>
        <v>4226.54</v>
      </c>
      <c r="Y99" s="3"/>
      <c r="Z99" s="8">
        <f t="shared" si="27"/>
        <v>1.5653851851851852</v>
      </c>
    </row>
    <row r="100" spans="1:26" s="69" customFormat="1" ht="15" customHeight="1" outlineLevel="1" collapsed="1" x14ac:dyDescent="0.3">
      <c r="A100" s="25"/>
      <c r="B100" s="14" t="str">
        <f>CONCATENATE("     ","Training                                          ")</f>
        <v xml:space="preserve">     Training                                          </v>
      </c>
      <c r="C100" s="14"/>
      <c r="D100" s="2">
        <f>SUM(OSRRefD22_18x_0)</f>
        <v>15.95</v>
      </c>
      <c r="E100" s="2"/>
      <c r="F100" s="6">
        <f t="shared" si="20"/>
        <v>5.3120625250074913E-5</v>
      </c>
      <c r="G100" s="2"/>
      <c r="H100" s="2">
        <f>SUM(OSRRefH22_18x_0)</f>
        <v>0</v>
      </c>
      <c r="I100" s="2"/>
      <c r="J100" s="6">
        <f t="shared" si="21"/>
        <v>0</v>
      </c>
      <c r="K100" s="2"/>
      <c r="L100" s="2">
        <f t="shared" si="22"/>
        <v>15.95</v>
      </c>
      <c r="M100" s="2"/>
      <c r="N100" s="6">
        <f t="shared" si="23"/>
        <v>0</v>
      </c>
      <c r="O100" s="14"/>
      <c r="P100" s="2">
        <f>SUM(OSRRefP22_18x_0)</f>
        <v>495.95</v>
      </c>
      <c r="Q100" s="2"/>
      <c r="R100" s="6">
        <f t="shared" si="24"/>
        <v>3.5666192627644447E-4</v>
      </c>
      <c r="S100" s="2"/>
      <c r="T100" s="2">
        <f>SUM(OSRRefT22_18x_0)</f>
        <v>5160</v>
      </c>
      <c r="U100" s="2"/>
      <c r="V100" s="6">
        <f t="shared" si="25"/>
        <v>2.8568517936157114E-3</v>
      </c>
      <c r="W100" s="2"/>
      <c r="X100" s="2">
        <f t="shared" si="26"/>
        <v>-4664.05</v>
      </c>
      <c r="Y100" s="2"/>
      <c r="Z100" s="6">
        <f t="shared" si="27"/>
        <v>-0.90388565891472872</v>
      </c>
    </row>
    <row r="101" spans="1:26" s="70" customFormat="1" ht="15" hidden="1" customHeight="1" outlineLevel="2" x14ac:dyDescent="0.3">
      <c r="A101" s="26"/>
      <c r="B101" s="12" t="str">
        <f>CONCATENATE("          ","6376"," - ","TRAINING")</f>
        <v xml:space="preserve">          6376 - TRAINING</v>
      </c>
      <c r="C101" s="12"/>
      <c r="D101" s="7">
        <v>15.95</v>
      </c>
      <c r="E101" s="3"/>
      <c r="F101" s="8">
        <f t="shared" si="20"/>
        <v>5.3120625250074913E-5</v>
      </c>
      <c r="G101" s="3"/>
      <c r="H101" s="7"/>
      <c r="I101" s="3"/>
      <c r="J101" s="8">
        <f t="shared" si="21"/>
        <v>0</v>
      </c>
      <c r="K101" s="3"/>
      <c r="L101" s="7">
        <f t="shared" si="22"/>
        <v>15.95</v>
      </c>
      <c r="M101" s="3"/>
      <c r="N101" s="8">
        <f t="shared" si="23"/>
        <v>0</v>
      </c>
      <c r="O101" s="12"/>
      <c r="P101" s="7">
        <v>495.95</v>
      </c>
      <c r="Q101" s="3"/>
      <c r="R101" s="8">
        <f t="shared" si="24"/>
        <v>3.5666192627644447E-4</v>
      </c>
      <c r="S101" s="3"/>
      <c r="T101" s="7">
        <v>5160</v>
      </c>
      <c r="U101" s="3"/>
      <c r="V101" s="8">
        <f t="shared" si="25"/>
        <v>2.8568517936157114E-3</v>
      </c>
      <c r="W101" s="3"/>
      <c r="X101" s="7">
        <f t="shared" si="26"/>
        <v>-4664.05</v>
      </c>
      <c r="Y101" s="3"/>
      <c r="Z101" s="8">
        <f t="shared" si="27"/>
        <v>-0.90388565891472872</v>
      </c>
    </row>
    <row r="102" spans="1:26" s="69" customFormat="1" ht="15" customHeight="1" outlineLevel="1" collapsed="1" x14ac:dyDescent="0.3">
      <c r="A102" s="25"/>
      <c r="B102" s="14" t="str">
        <f>CONCATENATE("     ","Travel                                            ")</f>
        <v xml:space="preserve">     Travel                                            </v>
      </c>
      <c r="C102" s="14"/>
      <c r="D102" s="2">
        <f>SUM(OSRRefD22_19x_0)</f>
        <v>0</v>
      </c>
      <c r="E102" s="2"/>
      <c r="F102" s="6">
        <f t="shared" si="20"/>
        <v>0</v>
      </c>
      <c r="G102" s="2"/>
      <c r="H102" s="2">
        <f>SUM(OSRRefH22_19x_0)</f>
        <v>0</v>
      </c>
      <c r="I102" s="2"/>
      <c r="J102" s="6">
        <f t="shared" si="21"/>
        <v>0</v>
      </c>
      <c r="K102" s="2"/>
      <c r="L102" s="2">
        <f t="shared" si="22"/>
        <v>0</v>
      </c>
      <c r="M102" s="2"/>
      <c r="N102" s="6">
        <f t="shared" si="23"/>
        <v>0</v>
      </c>
      <c r="O102" s="14"/>
      <c r="P102" s="2">
        <f>SUM(OSRRefP22_19x_0)</f>
        <v>141.24</v>
      </c>
      <c r="Q102" s="2"/>
      <c r="R102" s="6">
        <f t="shared" si="24"/>
        <v>1.0157259898635955E-4</v>
      </c>
      <c r="S102" s="2"/>
      <c r="T102" s="2">
        <f>SUM(OSRRefT22_19x_0)</f>
        <v>1200</v>
      </c>
      <c r="U102" s="2"/>
      <c r="V102" s="6">
        <f t="shared" si="25"/>
        <v>6.6438413805016544E-4</v>
      </c>
      <c r="W102" s="2"/>
      <c r="X102" s="2">
        <f t="shared" si="26"/>
        <v>-1058.76</v>
      </c>
      <c r="Y102" s="2"/>
      <c r="Z102" s="6">
        <f t="shared" si="27"/>
        <v>-0.88229999999999997</v>
      </c>
    </row>
    <row r="103" spans="1:26" s="70" customFormat="1" ht="15" hidden="1" customHeight="1" outlineLevel="2" x14ac:dyDescent="0.3">
      <c r="A103" s="26"/>
      <c r="B103" s="12" t="str">
        <f>CONCATENATE("          ","6292"," - ","TRAVEL/CONFERENCE")</f>
        <v xml:space="preserve">          6292 - TRAVEL/CONFERENCE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>
        <v>18.59</v>
      </c>
      <c r="Q103" s="3"/>
      <c r="R103" s="8">
        <f t="shared" si="24"/>
        <v>1.3368979150073802E-5</v>
      </c>
      <c r="S103" s="3"/>
      <c r="T103" s="7">
        <v>1200</v>
      </c>
      <c r="U103" s="3"/>
      <c r="V103" s="8">
        <f t="shared" si="25"/>
        <v>6.6438413805016544E-4</v>
      </c>
      <c r="W103" s="3"/>
      <c r="X103" s="7">
        <f t="shared" si="26"/>
        <v>-1181.4100000000001</v>
      </c>
      <c r="Y103" s="3"/>
      <c r="Z103" s="8">
        <f t="shared" si="27"/>
        <v>-0.98450833333333343</v>
      </c>
    </row>
    <row r="104" spans="1:26" s="70" customFormat="1" ht="15" hidden="1" customHeight="1" outlineLevel="2" x14ac:dyDescent="0.3">
      <c r="A104" s="26"/>
      <c r="B104" s="12" t="str">
        <f>CONCATENATE("          ","6298"," - ","VEHICLE MILEAGE")</f>
        <v xml:space="preserve">          6298 - VEHICLE MILEAGE</v>
      </c>
      <c r="C104" s="12"/>
      <c r="D104" s="7"/>
      <c r="E104" s="3"/>
      <c r="F104" s="8">
        <f t="shared" si="20"/>
        <v>0</v>
      </c>
      <c r="G104" s="3"/>
      <c r="H104" s="7"/>
      <c r="I104" s="3"/>
      <c r="J104" s="8">
        <f t="shared" si="21"/>
        <v>0</v>
      </c>
      <c r="K104" s="3"/>
      <c r="L104" s="7">
        <f t="shared" si="22"/>
        <v>0</v>
      </c>
      <c r="M104" s="3"/>
      <c r="N104" s="8">
        <f t="shared" si="23"/>
        <v>0</v>
      </c>
      <c r="O104" s="12"/>
      <c r="P104" s="7">
        <v>122.65</v>
      </c>
      <c r="Q104" s="3"/>
      <c r="R104" s="8">
        <f t="shared" si="24"/>
        <v>8.8203619836285741E-5</v>
      </c>
      <c r="S104" s="3"/>
      <c r="T104" s="7"/>
      <c r="U104" s="3"/>
      <c r="V104" s="8">
        <f t="shared" si="25"/>
        <v>0</v>
      </c>
      <c r="W104" s="3"/>
      <c r="X104" s="7">
        <f t="shared" si="26"/>
        <v>122.65</v>
      </c>
      <c r="Y104" s="3"/>
      <c r="Z104" s="8">
        <f t="shared" si="27"/>
        <v>0</v>
      </c>
    </row>
    <row r="105" spans="1:26" s="69" customFormat="1" ht="15" customHeight="1" outlineLevel="1" collapsed="1" x14ac:dyDescent="0.3">
      <c r="A105" s="25"/>
      <c r="B105" s="14" t="str">
        <f>CONCATENATE("     ","Utilities                                         ")</f>
        <v xml:space="preserve">     Utilities                                         </v>
      </c>
      <c r="C105" s="14"/>
      <c r="D105" s="2">
        <f>SUM(OSRRefD22_20x_0)</f>
        <v>8150</v>
      </c>
      <c r="E105" s="2"/>
      <c r="F105" s="6">
        <f t="shared" si="20"/>
        <v>2.7143140801762417E-2</v>
      </c>
      <c r="G105" s="2"/>
      <c r="H105" s="2">
        <f>SUM(OSRRefH22_20x_0)</f>
        <v>8667</v>
      </c>
      <c r="I105" s="2"/>
      <c r="J105" s="6">
        <f t="shared" si="21"/>
        <v>2.2438834951456311E-2</v>
      </c>
      <c r="K105" s="2"/>
      <c r="L105" s="2">
        <f t="shared" si="22"/>
        <v>-517</v>
      </c>
      <c r="M105" s="2"/>
      <c r="N105" s="6">
        <f t="shared" si="23"/>
        <v>-5.9651551863389871E-2</v>
      </c>
      <c r="O105" s="14"/>
      <c r="P105" s="2">
        <f>SUM(OSRRefP22_20x_0)</f>
        <v>79100</v>
      </c>
      <c r="Q105" s="2"/>
      <c r="R105" s="6">
        <f t="shared" si="24"/>
        <v>5.6884682666532425E-2</v>
      </c>
      <c r="S105" s="2"/>
      <c r="T105" s="2">
        <f>SUM(OSRRefT22_20x_0)</f>
        <v>86670</v>
      </c>
      <c r="U105" s="2"/>
      <c r="V105" s="6">
        <f t="shared" si="25"/>
        <v>4.7985144370673201E-2</v>
      </c>
      <c r="W105" s="2"/>
      <c r="X105" s="2">
        <f t="shared" si="26"/>
        <v>-7570</v>
      </c>
      <c r="Y105" s="2"/>
      <c r="Z105" s="6">
        <f t="shared" si="27"/>
        <v>-8.734279450790354E-2</v>
      </c>
    </row>
    <row r="106" spans="1:26" s="70" customFormat="1" ht="15" hidden="1" customHeight="1" outlineLevel="2" x14ac:dyDescent="0.3">
      <c r="A106" s="26"/>
      <c r="B106" s="12" t="str">
        <f>CONCATENATE("          ","6274"," - ","UTILITIES")</f>
        <v xml:space="preserve">          6274 - UTILITIES</v>
      </c>
      <c r="C106" s="12"/>
      <c r="D106" s="7">
        <v>8150</v>
      </c>
      <c r="E106" s="3"/>
      <c r="F106" s="8">
        <f t="shared" si="20"/>
        <v>2.7143140801762417E-2</v>
      </c>
      <c r="G106" s="3"/>
      <c r="H106" s="7">
        <v>8667</v>
      </c>
      <c r="I106" s="3"/>
      <c r="J106" s="8">
        <f t="shared" si="21"/>
        <v>2.2438834951456311E-2</v>
      </c>
      <c r="K106" s="3"/>
      <c r="L106" s="7">
        <f t="shared" si="22"/>
        <v>-517</v>
      </c>
      <c r="M106" s="3"/>
      <c r="N106" s="8">
        <f t="shared" si="23"/>
        <v>-5.9651551863389871E-2</v>
      </c>
      <c r="O106" s="12"/>
      <c r="P106" s="7">
        <v>79100</v>
      </c>
      <c r="Q106" s="3"/>
      <c r="R106" s="8">
        <f t="shared" si="24"/>
        <v>5.6884682666532425E-2</v>
      </c>
      <c r="S106" s="3"/>
      <c r="T106" s="7">
        <v>86670</v>
      </c>
      <c r="U106" s="3"/>
      <c r="V106" s="8">
        <f t="shared" si="25"/>
        <v>4.7985144370673201E-2</v>
      </c>
      <c r="W106" s="3"/>
      <c r="X106" s="7">
        <f t="shared" si="26"/>
        <v>-7570</v>
      </c>
      <c r="Y106" s="3"/>
      <c r="Z106" s="8">
        <f t="shared" si="27"/>
        <v>-8.734279450790354E-2</v>
      </c>
    </row>
    <row r="107" spans="1:26" s="65" customFormat="1" ht="15" customHeight="1" x14ac:dyDescent="0.3">
      <c r="A107" s="35"/>
      <c r="B107" s="35"/>
      <c r="C107" s="35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O107" s="35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63" customFormat="1" ht="15" customHeight="1" collapsed="1" x14ac:dyDescent="0.3">
      <c r="A108" s="11"/>
      <c r="B108" s="28" t="s">
        <v>291</v>
      </c>
      <c r="C108" s="11"/>
      <c r="D108" s="5">
        <f>SUM(OSRRefD25x_0)</f>
        <v>6601.19</v>
      </c>
      <c r="E108" s="5"/>
      <c r="F108" s="13">
        <f>IF(D$12=0,0,D108/D$12)</f>
        <v>2.1984911610943073E-2</v>
      </c>
      <c r="G108" s="5"/>
      <c r="H108" s="5">
        <f>SUM(OSRRefH25x_0)</f>
        <v>28752.129999999997</v>
      </c>
      <c r="I108" s="5"/>
      <c r="J108" s="13">
        <f>IF(H$12=0,0,H108/H$12)</f>
        <v>7.4439171521035588E-2</v>
      </c>
      <c r="K108" s="5"/>
      <c r="L108" s="5">
        <f>+D108-H108</f>
        <v>-22150.94</v>
      </c>
      <c r="M108" s="5"/>
      <c r="N108" s="13">
        <f>IF(H108=0,0,L108/H108)</f>
        <v>-0.77041040089899426</v>
      </c>
      <c r="O108" s="11"/>
      <c r="P108" s="5">
        <f>SUM(OSRRefP25x_0)</f>
        <v>175136.04</v>
      </c>
      <c r="Q108" s="5"/>
      <c r="R108" s="13">
        <f>IF(P$12=0,0,P108/P$12)</f>
        <v>0.12594890087070962</v>
      </c>
      <c r="S108" s="5"/>
      <c r="T108" s="5">
        <f>SUM(OSRRefT25x_0)</f>
        <v>134732.53</v>
      </c>
      <c r="U108" s="5"/>
      <c r="V108" s="13">
        <f>IF(T$12=0,0,T108/T$12)</f>
        <v>7.4595129842806709E-2</v>
      </c>
      <c r="W108" s="5"/>
      <c r="X108" s="5">
        <f>+P108-T108</f>
        <v>40403.510000000009</v>
      </c>
      <c r="Y108" s="5"/>
      <c r="Z108" s="13">
        <f>IF(T108=0,0,X108/T108)</f>
        <v>0.29987939809339298</v>
      </c>
    </row>
    <row r="109" spans="1:26" s="70" customFormat="1" ht="15" hidden="1" customHeight="1" outlineLevel="1" x14ac:dyDescent="0.3">
      <c r="A109" s="42"/>
      <c r="B109" s="12" t="str">
        <f>CONCATENATE("          ","9150"," - ","MISC. INCOME")</f>
        <v xml:space="preserve">          9150 - MISC. INCOME</v>
      </c>
      <c r="C109" s="12"/>
      <c r="D109" s="3">
        <f>--6601.19</f>
        <v>6601.19</v>
      </c>
      <c r="E109" s="3"/>
      <c r="F109" s="20">
        <f>IF(D$12=0,0,D109/D$12)</f>
        <v>2.1984911610943073E-2</v>
      </c>
      <c r="G109" s="3"/>
      <c r="H109" s="3"/>
      <c r="I109" s="3"/>
      <c r="J109" s="20">
        <f>IF(H$12=0,0,H109/H$12)</f>
        <v>0</v>
      </c>
      <c r="K109" s="3"/>
      <c r="L109" s="3">
        <f>+D109-H109</f>
        <v>6601.19</v>
      </c>
      <c r="M109" s="3"/>
      <c r="N109" s="20">
        <f>IF(H109=0,0,L109/H109)</f>
        <v>0</v>
      </c>
      <c r="O109" s="12"/>
      <c r="P109" s="3">
        <f>--175136.04</f>
        <v>175136.04</v>
      </c>
      <c r="Q109" s="3"/>
      <c r="R109" s="20">
        <f>IF(P$12=0,0,P109/P$12)</f>
        <v>0.12594890087070962</v>
      </c>
      <c r="S109" s="3"/>
      <c r="T109" s="3">
        <v>1000</v>
      </c>
      <c r="U109" s="3"/>
      <c r="V109" s="20">
        <f>IF(T$12=0,0,T109/T$12)</f>
        <v>5.5365344837513789E-4</v>
      </c>
      <c r="W109" s="3"/>
      <c r="X109" s="3">
        <f>+P109-T109</f>
        <v>174136.04</v>
      </c>
      <c r="Y109" s="3"/>
      <c r="Z109" s="20">
        <f>IF(T109=0,0,X109/T109)</f>
        <v>174.13604000000001</v>
      </c>
    </row>
    <row r="110" spans="1:26" s="70" customFormat="1" ht="15" hidden="1" customHeight="1" outlineLevel="1" x14ac:dyDescent="0.3">
      <c r="A110" s="42"/>
      <c r="B110" s="12" t="str">
        <f>CONCATENATE("          ","9151"," - ","MISC. INCOME")</f>
        <v xml:space="preserve">          9151 - MISC. INCOME</v>
      </c>
      <c r="C110" s="12"/>
      <c r="D110" s="3">
        <f>0</f>
        <v>0</v>
      </c>
      <c r="E110" s="3"/>
      <c r="F110" s="20">
        <f>IF(D$12=0,0,D110/D$12)</f>
        <v>0</v>
      </c>
      <c r="G110" s="3"/>
      <c r="H110" s="3">
        <v>12530.38</v>
      </c>
      <c r="I110" s="3"/>
      <c r="J110" s="20">
        <f>IF(H$12=0,0,H110/H$12)</f>
        <v>3.2441113268608414E-2</v>
      </c>
      <c r="K110" s="3"/>
      <c r="L110" s="3">
        <f>+D110-H110</f>
        <v>-12530.38</v>
      </c>
      <c r="M110" s="3"/>
      <c r="N110" s="20">
        <f>IF(H110=0,0,L110/H110)</f>
        <v>-1</v>
      </c>
      <c r="O110" s="12"/>
      <c r="P110" s="3">
        <f>0</f>
        <v>0</v>
      </c>
      <c r="Q110" s="3"/>
      <c r="R110" s="20">
        <f>IF(P$12=0,0,P110/P$12)</f>
        <v>0</v>
      </c>
      <c r="S110" s="3"/>
      <c r="T110" s="3">
        <v>57298.91</v>
      </c>
      <c r="U110" s="3"/>
      <c r="V110" s="20">
        <f>IF(T$12=0,0,T110/T$12)</f>
        <v>3.1723739109636676E-2</v>
      </c>
      <c r="W110" s="3"/>
      <c r="X110" s="3">
        <f>+P110-T110</f>
        <v>-57298.91</v>
      </c>
      <c r="Y110" s="3"/>
      <c r="Z110" s="20">
        <f>IF(T110=0,0,X110/T110)</f>
        <v>-1</v>
      </c>
    </row>
    <row r="111" spans="1:26" s="70" customFormat="1" ht="15" hidden="1" customHeight="1" outlineLevel="1" x14ac:dyDescent="0.3">
      <c r="A111" s="42"/>
      <c r="B111" s="12" t="str">
        <f>CONCATENATE("          ","9160"," - ","MISC. INCOME")</f>
        <v xml:space="preserve">          9160 - MISC. INCOME</v>
      </c>
      <c r="C111" s="12"/>
      <c r="D111" s="3">
        <f>0</f>
        <v>0</v>
      </c>
      <c r="E111" s="3"/>
      <c r="F111" s="20">
        <f>IF(D$12=0,0,D111/D$12)</f>
        <v>0</v>
      </c>
      <c r="G111" s="3"/>
      <c r="H111" s="3">
        <v>16221.75</v>
      </c>
      <c r="I111" s="3"/>
      <c r="J111" s="20">
        <f>IF(H$12=0,0,H111/H$12)</f>
        <v>4.1998058252427181E-2</v>
      </c>
      <c r="K111" s="3"/>
      <c r="L111" s="3">
        <f>+D111-H111</f>
        <v>-16221.75</v>
      </c>
      <c r="M111" s="3"/>
      <c r="N111" s="20">
        <f>IF(H111=0,0,L111/H111)</f>
        <v>-1</v>
      </c>
      <c r="O111" s="12"/>
      <c r="P111" s="3">
        <f>0</f>
        <v>0</v>
      </c>
      <c r="Q111" s="3"/>
      <c r="R111" s="20">
        <f>IF(P$12=0,0,P111/P$12)</f>
        <v>0</v>
      </c>
      <c r="S111" s="3"/>
      <c r="T111" s="3">
        <v>76433.62</v>
      </c>
      <c r="U111" s="3"/>
      <c r="V111" s="20">
        <f>IF(T$12=0,0,T111/T$12)</f>
        <v>4.2317737284794904E-2</v>
      </c>
      <c r="W111" s="3"/>
      <c r="X111" s="3">
        <f>+P111-T111</f>
        <v>-76433.62</v>
      </c>
      <c r="Y111" s="3"/>
      <c r="Z111" s="20">
        <f>IF(T111=0,0,X111/T111)</f>
        <v>-1</v>
      </c>
    </row>
    <row r="112" spans="1:26" s="70" customFormat="1" ht="15" hidden="1" customHeight="1" outlineLevel="1" x14ac:dyDescent="0.3">
      <c r="A112" s="42"/>
      <c r="B112" s="12" t="str">
        <f>CONCATENATE("          ","9165"," - ","OTHER INCOME")</f>
        <v xml:space="preserve">          9165 - OTHER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/>
      <c r="I112" s="3"/>
      <c r="J112" s="20">
        <f>IF(H$12=0,0,H112/H$12)</f>
        <v>0</v>
      </c>
      <c r="K112" s="3"/>
      <c r="L112" s="3">
        <f>+D112-H112</f>
        <v>0</v>
      </c>
      <c r="M112" s="3"/>
      <c r="N112" s="20">
        <f>IF(H112=0,0,L112/H112)</f>
        <v>0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/>
      <c r="U112" s="3"/>
      <c r="V112" s="20">
        <f>IF(T$12=0,0,T112/T$12)</f>
        <v>0</v>
      </c>
      <c r="W112" s="3"/>
      <c r="X112" s="3">
        <f>+P112-T112</f>
        <v>0</v>
      </c>
      <c r="Y112" s="3"/>
      <c r="Z112" s="20">
        <f>IF(T112=0,0,X112/T112)</f>
        <v>0</v>
      </c>
    </row>
    <row r="113" spans="1:26" ht="15" customHeight="1" x14ac:dyDescent="0.3">
      <c r="A113" s="10"/>
      <c r="B113" s="11"/>
      <c r="C113" s="11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O113" s="11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3" customFormat="1" ht="15" customHeight="1" x14ac:dyDescent="0.3">
      <c r="A114" s="11"/>
      <c r="B114" s="27" t="s">
        <v>292</v>
      </c>
      <c r="C114" s="27"/>
      <c r="D114" s="21">
        <f>+D24-D26+D108</f>
        <v>-32841.329999999958</v>
      </c>
      <c r="E114" s="15"/>
      <c r="F114" s="23">
        <f>IF(D$12=0,0,D114/D$12)</f>
        <v>-0.10937629991498687</v>
      </c>
      <c r="G114" s="15"/>
      <c r="H114" s="21">
        <f>+H24-H26+H108</f>
        <v>48991.451425842002</v>
      </c>
      <c r="I114" s="15"/>
      <c r="J114" s="23">
        <f>IF(H$12=0,0,H114/H$12)</f>
        <v>0.12683870919311846</v>
      </c>
      <c r="K114" s="17"/>
      <c r="L114" s="21">
        <f>+D114-H114</f>
        <v>-81832.781425841968</v>
      </c>
      <c r="M114" s="17"/>
      <c r="N114" s="23">
        <f>IF(H114=0,0,L114/H114)</f>
        <v>-1.6703481738995147</v>
      </c>
      <c r="O114" s="28"/>
      <c r="P114" s="21">
        <f>+P24-P26+P108</f>
        <v>-845129.54000000015</v>
      </c>
      <c r="Q114" s="15"/>
      <c r="R114" s="23">
        <f>IF(P$12=0,0,P114/P$12)</f>
        <v>-0.60777402901406485</v>
      </c>
      <c r="S114" s="15"/>
      <c r="T114" s="21">
        <f>+T24-T26+T108</f>
        <v>-565826.86886194092</v>
      </c>
      <c r="U114" s="15"/>
      <c r="V114" s="23">
        <f>IF(T$12=0,0,T114/T$12)</f>
        <v>-0.3132719971287205</v>
      </c>
      <c r="W114" s="17"/>
      <c r="X114" s="21">
        <f>+P114-T114</f>
        <v>-279302.67113805923</v>
      </c>
      <c r="Y114" s="17"/>
      <c r="Z114" s="23">
        <f>IF(T114=0,0,X114/T114)</f>
        <v>0.49361860757836823</v>
      </c>
    </row>
    <row r="115" spans="1:26" ht="15" customHeight="1" x14ac:dyDescent="0.3">
      <c r="A115" s="10"/>
      <c r="B115" s="11"/>
      <c r="C115" s="10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49"/>
      <c r="B116" s="11" t="s">
        <v>293</v>
      </c>
      <c r="C116" s="11"/>
      <c r="D116" s="5">
        <v>27403.58</v>
      </c>
      <c r="E116" s="5"/>
      <c r="F116" s="13">
        <f>IF(D$12=0,0,D116/D$12)</f>
        <v>9.1266163240780435E-2</v>
      </c>
      <c r="G116" s="5"/>
      <c r="H116" s="5">
        <v>49265</v>
      </c>
      <c r="I116" s="5"/>
      <c r="J116" s="13">
        <f>IF(H$12=0,0,H116/H$12)</f>
        <v>0.12754692556634303</v>
      </c>
      <c r="K116" s="5"/>
      <c r="L116" s="5">
        <f>+D116-H116</f>
        <v>-21861.42</v>
      </c>
      <c r="M116" s="5"/>
      <c r="N116" s="13">
        <f>IF(H116=0,0,L116/H116)</f>
        <v>-0.44375154775195369</v>
      </c>
      <c r="O116" s="11"/>
      <c r="P116" s="5">
        <v>157524.92000000001</v>
      </c>
      <c r="Q116" s="5"/>
      <c r="R116" s="13">
        <f>IF(P$12=0,0,P116/P$12)</f>
        <v>0.11328388225374093</v>
      </c>
      <c r="S116" s="5"/>
      <c r="T116" s="5">
        <v>222187</v>
      </c>
      <c r="U116" s="5"/>
      <c r="V116" s="13">
        <f>IF(T$12=0,0,T116/T$12)</f>
        <v>0.12301459873412676</v>
      </c>
      <c r="W116" s="5"/>
      <c r="X116" s="5">
        <f>+P116-T116</f>
        <v>-64662.079999999987</v>
      </c>
      <c r="Y116" s="5"/>
      <c r="Z116" s="13">
        <f>IF(T116=0,0,X116/T116)</f>
        <v>-0.29102548753977497</v>
      </c>
    </row>
    <row r="117" spans="1:26" ht="15" customHeight="1" x14ac:dyDescent="0.3">
      <c r="A117" s="10"/>
      <c r="B117" s="11"/>
      <c r="C117" s="11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O117" s="11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3">
      <c r="A118" s="11"/>
      <c r="B118" s="27" t="s">
        <v>294</v>
      </c>
      <c r="C118" s="27"/>
      <c r="D118" s="29">
        <f>+D114-D116</f>
        <v>-60244.90999999996</v>
      </c>
      <c r="E118" s="15"/>
      <c r="F118" s="30">
        <f>IF(D$12=0,0,D118/D$12)</f>
        <v>-0.20064246315576731</v>
      </c>
      <c r="G118" s="15"/>
      <c r="H118" s="29">
        <f>+H114-H116</f>
        <v>-273.54857415799779</v>
      </c>
      <c r="I118" s="15"/>
      <c r="J118" s="30">
        <f>IF(H$12=0,0,H118/H$12)</f>
        <v>-7.082163732245897E-4</v>
      </c>
      <c r="K118" s="17"/>
      <c r="L118" s="29">
        <f>D118-H118</f>
        <v>-59971.361425841962</v>
      </c>
      <c r="M118" s="17"/>
      <c r="N118" s="30">
        <f>IF(H118=0,0,L118/H118)</f>
        <v>219.23477982087141</v>
      </c>
      <c r="O118" s="28"/>
      <c r="P118" s="29">
        <f>+P114-P116</f>
        <v>-1002654.4600000002</v>
      </c>
      <c r="Q118" s="15"/>
      <c r="R118" s="30">
        <f>IF(P$12=0,0,P118/P$12)</f>
        <v>-0.72105791126780583</v>
      </c>
      <c r="S118" s="15"/>
      <c r="T118" s="29">
        <f>+T114-T116</f>
        <v>-788013.86886194092</v>
      </c>
      <c r="U118" s="15"/>
      <c r="V118" s="30">
        <f>IF(T$12=0,0,T118/T$12)</f>
        <v>-0.43628659586284724</v>
      </c>
      <c r="W118" s="17"/>
      <c r="X118" s="29">
        <f>P118-T118</f>
        <v>-214640.59113805927</v>
      </c>
      <c r="Y118" s="17"/>
      <c r="Z118" s="30">
        <f>IF(T118=0,0,X118/T118)</f>
        <v>0.27238174303714452</v>
      </c>
    </row>
    <row r="119" spans="1:26" ht="15" customHeight="1" x14ac:dyDescent="0.3">
      <c r="A119" s="10"/>
      <c r="B119" s="10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ht="15" customHeight="1" x14ac:dyDescent="0.3">
      <c r="A120" s="10"/>
      <c r="B120" s="10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3" customFormat="1" ht="15" customHeight="1" x14ac:dyDescent="0.3">
      <c r="A121" s="11"/>
      <c r="B121" s="27" t="s">
        <v>297</v>
      </c>
      <c r="C121" s="27"/>
      <c r="D121" s="32">
        <f>SUM(D118:D120)</f>
        <v>-60244.90999999996</v>
      </c>
      <c r="E121" s="15"/>
      <c r="F121" s="34">
        <f>IF(D$12=0,0,D121/D$12)</f>
        <v>-0.20064246315576731</v>
      </c>
      <c r="G121" s="15"/>
      <c r="H121" s="32">
        <f>SUM(H118:H120)</f>
        <v>-273.54857415799779</v>
      </c>
      <c r="I121" s="15"/>
      <c r="J121" s="34">
        <f>IF(H$12=0,0,H121/H$12)</f>
        <v>-7.082163732245897E-4</v>
      </c>
      <c r="K121" s="17"/>
      <c r="L121" s="32">
        <f>+D121-H121</f>
        <v>-59971.361425841962</v>
      </c>
      <c r="M121" s="17"/>
      <c r="N121" s="34">
        <f>IF(H121=0,0,L121/H121)</f>
        <v>219.23477982087141</v>
      </c>
      <c r="O121" s="28"/>
      <c r="P121" s="32">
        <f>SUM(P118:P120)</f>
        <v>-1002654.4600000002</v>
      </c>
      <c r="Q121" s="15"/>
      <c r="R121" s="34">
        <f>IF(P$12=0,0,P121/P$12)</f>
        <v>-0.72105791126780583</v>
      </c>
      <c r="S121" s="15"/>
      <c r="T121" s="32">
        <f>SUM(T118:T120)</f>
        <v>-788013.86886194092</v>
      </c>
      <c r="U121" s="15"/>
      <c r="V121" s="34">
        <f>IF(T$12=0,0,T121/T$12)</f>
        <v>-0.43628659586284724</v>
      </c>
      <c r="W121" s="17"/>
      <c r="X121" s="32">
        <f>+P121-T121</f>
        <v>-214640.59113805927</v>
      </c>
      <c r="Y121" s="17"/>
      <c r="Z121" s="34">
        <f>IF(T121=0,0,X121/T121)</f>
        <v>0.27238174303714452</v>
      </c>
    </row>
    <row r="122" spans="1:26" ht="15" customHeight="1" x14ac:dyDescent="0.3">
      <c r="A122" s="10"/>
      <c r="C122" s="10"/>
      <c r="D122" s="19"/>
      <c r="E122" s="19"/>
      <c r="G122" s="19"/>
      <c r="H122" s="19"/>
      <c r="I122" s="19"/>
      <c r="J122" s="40"/>
      <c r="K122" s="19"/>
      <c r="L122" s="19"/>
      <c r="M122" s="19"/>
      <c r="P122" s="19"/>
      <c r="Q122" s="19"/>
      <c r="R122" s="40"/>
      <c r="S122" s="19"/>
      <c r="T122" s="19"/>
      <c r="U122" s="19"/>
      <c r="V122" s="40"/>
      <c r="W122" s="19"/>
      <c r="X122" s="19"/>
    </row>
    <row r="123" spans="1:26" ht="15" customHeight="1" x14ac:dyDescent="0.3">
      <c r="A123" s="10"/>
      <c r="B123" s="56">
        <v>44694.88853935185</v>
      </c>
      <c r="D123" s="19"/>
      <c r="E123" s="19"/>
      <c r="G123" s="19"/>
      <c r="H123" s="19"/>
      <c r="I123" s="19"/>
      <c r="J123" s="40"/>
      <c r="K123" s="19"/>
      <c r="L123" s="19"/>
      <c r="M123" s="19"/>
      <c r="P123" s="19"/>
      <c r="Q123" s="19"/>
      <c r="R123" s="40"/>
      <c r="S123" s="19"/>
      <c r="T123" s="19"/>
      <c r="U123" s="19"/>
      <c r="V123" s="40"/>
      <c r="W123" s="19"/>
      <c r="X123" s="19"/>
    </row>
    <row r="124" spans="1:26" ht="15" customHeight="1" x14ac:dyDescent="0.3">
      <c r="A124" s="10"/>
      <c r="B124" s="50" t="s">
        <v>298</v>
      </c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  <row r="125" spans="1:26" ht="15" customHeight="1" x14ac:dyDescent="0.3">
      <c r="A125" s="10"/>
      <c r="B125" s="51"/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73323-AFA6-F62E-2ECD-70A90CED0016}">
  <sheetPr>
    <tabColor rgb="FF92D050"/>
    <outlinePr summaryBelow="0" summaryRight="0"/>
  </sheetPr>
  <dimension ref="A2:Z10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","405"," - ","Caffeine Lab")</f>
        <v>Department 405 - Caffeine Lab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118012.11</v>
      </c>
      <c r="E12" s="5"/>
      <c r="F12" s="13"/>
      <c r="G12" s="5"/>
      <c r="H12" s="5">
        <f>SUM(OSRRefH13x_0)</f>
        <v>83684</v>
      </c>
      <c r="I12" s="5"/>
      <c r="J12" s="13"/>
      <c r="K12" s="5"/>
      <c r="L12" s="5">
        <f>+D12-H12</f>
        <v>34328.11</v>
      </c>
      <c r="M12" s="5"/>
      <c r="N12" s="13">
        <f>IF(H12=0,0,L12/H12)</f>
        <v>0.41021115147459492</v>
      </c>
      <c r="O12" s="11"/>
      <c r="P12" s="5">
        <f>SUM(OSRRefP13x_0)</f>
        <v>600837.53</v>
      </c>
      <c r="Q12" s="5"/>
      <c r="R12" s="13"/>
      <c r="S12" s="5"/>
      <c r="T12" s="5">
        <f>SUM(OSRRefT13x_0)</f>
        <v>423190</v>
      </c>
      <c r="U12" s="5"/>
      <c r="V12" s="13"/>
      <c r="W12" s="5"/>
      <c r="X12" s="5">
        <f>+P12-T12</f>
        <v>177647.53000000003</v>
      </c>
      <c r="Y12" s="5"/>
      <c r="Z12" s="13">
        <f>IF(T12=0,0,X12/T12)</f>
        <v>0.41978196554739011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17524</v>
      </c>
      <c r="I13" s="3"/>
      <c r="J13" s="20"/>
      <c r="K13" s="3"/>
      <c r="L13" s="3">
        <f>+D13-H13</f>
        <v>-17524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88620</v>
      </c>
      <c r="U13" s="3"/>
      <c r="V13" s="20"/>
      <c r="W13" s="3"/>
      <c r="X13" s="3">
        <f>+P13-T13</f>
        <v>-88620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--6760.69</f>
        <v>6760.69</v>
      </c>
      <c r="E14" s="3"/>
      <c r="F14" s="20"/>
      <c r="G14" s="3"/>
      <c r="H14" s="3"/>
      <c r="I14" s="3"/>
      <c r="J14" s="20"/>
      <c r="K14" s="3"/>
      <c r="L14" s="3">
        <f>+D14-H14</f>
        <v>6760.69</v>
      </c>
      <c r="M14" s="3"/>
      <c r="N14" s="20">
        <f>IF(H14=0,0,L14/H14)</f>
        <v>0</v>
      </c>
      <c r="O14" s="12"/>
      <c r="P14" s="3">
        <f>--57363.38</f>
        <v>57363.38</v>
      </c>
      <c r="Q14" s="3"/>
      <c r="R14" s="20"/>
      <c r="S14" s="3"/>
      <c r="T14" s="3"/>
      <c r="U14" s="3"/>
      <c r="V14" s="20"/>
      <c r="W14" s="3"/>
      <c r="X14" s="3">
        <f>+P14-T14</f>
        <v>57363.38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66160</v>
      </c>
      <c r="I15" s="3"/>
      <c r="J15" s="20"/>
      <c r="K15" s="3"/>
      <c r="L15" s="3">
        <f>+D15-H15</f>
        <v>-66160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334570</v>
      </c>
      <c r="U15" s="3"/>
      <c r="V15" s="20"/>
      <c r="W15" s="3"/>
      <c r="X15" s="3">
        <f>+P15-T15</f>
        <v>-334570</v>
      </c>
      <c r="Y15" s="3"/>
      <c r="Z15" s="20">
        <f>IF(T15=0,0,X15/T15)</f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--111251.42</f>
        <v>111251.42</v>
      </c>
      <c r="E16" s="3"/>
      <c r="F16" s="20"/>
      <c r="G16" s="3"/>
      <c r="H16" s="3"/>
      <c r="I16" s="3"/>
      <c r="J16" s="20"/>
      <c r="K16" s="3"/>
      <c r="L16" s="3">
        <f>+D16-H16</f>
        <v>111251.42</v>
      </c>
      <c r="M16" s="3"/>
      <c r="N16" s="20">
        <f>IF(H16=0,0,L16/H16)</f>
        <v>0</v>
      </c>
      <c r="O16" s="12"/>
      <c r="P16" s="3">
        <f>--543474.15</f>
        <v>543474.15</v>
      </c>
      <c r="Q16" s="3"/>
      <c r="R16" s="20"/>
      <c r="S16" s="3"/>
      <c r="T16" s="3"/>
      <c r="U16" s="3"/>
      <c r="V16" s="20"/>
      <c r="W16" s="3"/>
      <c r="X16" s="3">
        <f>+P16-T16</f>
        <v>543474.15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49024.17</v>
      </c>
      <c r="E18" s="5"/>
      <c r="F18" s="13">
        <f>IF(D$12=0,0,D18/D$12)</f>
        <v>0.41541643480486873</v>
      </c>
      <c r="G18" s="5"/>
      <c r="H18" s="5">
        <f>SUM(OSRRefH16x_0)</f>
        <v>31800</v>
      </c>
      <c r="I18" s="5"/>
      <c r="J18" s="13">
        <f>IF(H$12=0,0,H18/H$12)</f>
        <v>0.38000095597724776</v>
      </c>
      <c r="K18" s="5"/>
      <c r="L18" s="5">
        <f>+D18-H18</f>
        <v>17224.169999999998</v>
      </c>
      <c r="M18" s="5"/>
      <c r="N18" s="13">
        <f>IF(H18=0,0,L18/H18)</f>
        <v>0.5416405660377358</v>
      </c>
      <c r="O18" s="11"/>
      <c r="P18" s="5">
        <f>SUM(OSRRefP16x_0)</f>
        <v>261287.24</v>
      </c>
      <c r="Q18" s="5"/>
      <c r="R18" s="13">
        <f>IF(P$12=0,0,P18/P$12)</f>
        <v>0.43487170317073898</v>
      </c>
      <c r="S18" s="5"/>
      <c r="T18" s="5">
        <f>SUM(OSRRefT16x_0)</f>
        <v>160811</v>
      </c>
      <c r="U18" s="5"/>
      <c r="V18" s="13">
        <f>IF(T$12=0,0,T18/T$12)</f>
        <v>0.37999716439424375</v>
      </c>
      <c r="W18" s="5"/>
      <c r="X18" s="5">
        <f>+P18-T18</f>
        <v>100476.23999999999</v>
      </c>
      <c r="Y18" s="5"/>
      <c r="Z18" s="13">
        <f>IF(T18=0,0,X18/T18)</f>
        <v>0.62480949686277676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31800</v>
      </c>
      <c r="I19" s="3"/>
      <c r="J19" s="20">
        <f>IF(H$12=0,0,H19/H$12)</f>
        <v>0.38000095597724776</v>
      </c>
      <c r="K19" s="3"/>
      <c r="L19" s="3">
        <f>+D19-H19</f>
        <v>-31800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160811</v>
      </c>
      <c r="U19" s="3"/>
      <c r="V19" s="20">
        <f>IF(T$12=0,0,T19/T$12)</f>
        <v>0.37999716439424375</v>
      </c>
      <c r="W19" s="3"/>
      <c r="X19" s="3">
        <f>+P19-T19</f>
        <v>-160811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26424.84</v>
      </c>
      <c r="E20" s="3"/>
      <c r="F20" s="20">
        <f>IF(D$12=0,0,D20/D$12)</f>
        <v>0.22391634214488665</v>
      </c>
      <c r="G20" s="3"/>
      <c r="H20" s="3"/>
      <c r="I20" s="3"/>
      <c r="J20" s="20">
        <f>IF(H$12=0,0,H20/H$12)</f>
        <v>0</v>
      </c>
      <c r="K20" s="3"/>
      <c r="L20" s="3">
        <f>+D20-H20</f>
        <v>26424.84</v>
      </c>
      <c r="M20" s="3"/>
      <c r="N20" s="20">
        <f>IF(H20=0,0,L20/H20)</f>
        <v>0</v>
      </c>
      <c r="O20" s="12"/>
      <c r="P20" s="3">
        <v>186179.9</v>
      </c>
      <c r="Q20" s="3"/>
      <c r="R20" s="20">
        <f>IF(P$12=0,0,P20/P$12)</f>
        <v>0.30986729474105917</v>
      </c>
      <c r="S20" s="3"/>
      <c r="T20" s="3"/>
      <c r="U20" s="3"/>
      <c r="V20" s="20">
        <f>IF(T$12=0,0,T20/T$12)</f>
        <v>0</v>
      </c>
      <c r="W20" s="3"/>
      <c r="X20" s="3">
        <f>+P20-T20</f>
        <v>186179.9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22599.33</v>
      </c>
      <c r="E21" s="3"/>
      <c r="F21" s="20">
        <f>IF(D$12=0,0,D21/D$12)</f>
        <v>0.19150009265998211</v>
      </c>
      <c r="G21" s="3"/>
      <c r="H21" s="3"/>
      <c r="I21" s="3"/>
      <c r="J21" s="20">
        <f>IF(H$12=0,0,H21/H$12)</f>
        <v>0</v>
      </c>
      <c r="K21" s="3"/>
      <c r="L21" s="3">
        <f>+D21-H21</f>
        <v>22599.33</v>
      </c>
      <c r="M21" s="3"/>
      <c r="N21" s="20">
        <f>IF(H21=0,0,L21/H21)</f>
        <v>0</v>
      </c>
      <c r="O21" s="12"/>
      <c r="P21" s="3">
        <v>75107.34</v>
      </c>
      <c r="Q21" s="3"/>
      <c r="R21" s="20">
        <f>IF(P$12=0,0,P21/P$12)</f>
        <v>0.1250044084296798</v>
      </c>
      <c r="S21" s="3"/>
      <c r="T21" s="3"/>
      <c r="U21" s="3"/>
      <c r="V21" s="20">
        <f>IF(T$12=0,0,T21/T$12)</f>
        <v>0</v>
      </c>
      <c r="W21" s="3"/>
      <c r="X21" s="3">
        <f>+P21-T21</f>
        <v>75107.34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68987.94</v>
      </c>
      <c r="E23" s="15"/>
      <c r="F23" s="23">
        <f>IF(D$12=0,0,D23/D$12)</f>
        <v>0.58458356519513122</v>
      </c>
      <c r="G23" s="15"/>
      <c r="H23" s="21">
        <f>H12-H18</f>
        <v>51884</v>
      </c>
      <c r="I23" s="15"/>
      <c r="J23" s="23">
        <f>IF(H$12=0,0,H23/H$12)</f>
        <v>0.6199990440227523</v>
      </c>
      <c r="K23" s="17"/>
      <c r="L23" s="21">
        <f>+D23-H23</f>
        <v>17103.940000000002</v>
      </c>
      <c r="M23" s="17"/>
      <c r="N23" s="23">
        <f>IF(H23=0,0,L23/H23)</f>
        <v>0.32965731246627095</v>
      </c>
      <c r="O23" s="28"/>
      <c r="P23" s="21">
        <f>P12-P18</f>
        <v>339550.29000000004</v>
      </c>
      <c r="Q23" s="15"/>
      <c r="R23" s="23">
        <f>IF(P$12=0,0,P23/P$12)</f>
        <v>0.56512829682926102</v>
      </c>
      <c r="S23" s="15"/>
      <c r="T23" s="21">
        <f>T12-T18</f>
        <v>262379</v>
      </c>
      <c r="U23" s="15"/>
      <c r="V23" s="23">
        <f>IF(T$12=0,0,T23/T$12)</f>
        <v>0.62000283560575631</v>
      </c>
      <c r="W23" s="17"/>
      <c r="X23" s="21">
        <f>+P23-T23</f>
        <v>77171.290000000037</v>
      </c>
      <c r="Y23" s="17"/>
      <c r="Z23" s="23">
        <f>IF(T23=0,0,X23/T23)</f>
        <v>0.29412144264594359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55646.659999999982</v>
      </c>
      <c r="E25" s="22"/>
      <c r="F25" s="33">
        <f t="shared" ref="F25:F56" si="0">IF(D$12=0,0,D25/D$12)</f>
        <v>0.47153347228517467</v>
      </c>
      <c r="G25" s="22"/>
      <c r="H25" s="22" cm="1">
        <f t="array" ref="H25">SUM(OSRRefH22x_0)</f>
        <v>42784.477572307696</v>
      </c>
      <c r="I25" s="22"/>
      <c r="J25" s="33">
        <f t="shared" ref="J25:J56" si="1">IF(H$12=0,0,H25/H$12)</f>
        <v>0.51126233894541007</v>
      </c>
      <c r="K25" s="5"/>
      <c r="L25" s="22">
        <f t="shared" ref="L25:L56" si="2">+D25-H25</f>
        <v>12862.182427692285</v>
      </c>
      <c r="M25" s="5"/>
      <c r="N25" s="33">
        <f t="shared" ref="N25:N56" si="3">IF(H25=0,0,L25/H25)</f>
        <v>0.30062731059306769</v>
      </c>
      <c r="O25" s="11"/>
      <c r="P25" s="22" cm="1">
        <f t="array" ref="P25">SUM(OSRRefP22x_0)</f>
        <v>371280.44000000006</v>
      </c>
      <c r="Q25" s="22"/>
      <c r="R25" s="33">
        <f t="shared" ref="R25:R56" si="4">IF(P$12=0,0,P25/P$12)</f>
        <v>0.61793816374952482</v>
      </c>
      <c r="S25" s="22"/>
      <c r="T25" s="22" cm="1">
        <f t="array" ref="T25">SUM(OSRRefT22x_0)</f>
        <v>347260.17737030773</v>
      </c>
      <c r="U25" s="22"/>
      <c r="V25" s="33">
        <f t="shared" ref="V25:V56" si="5">IF(T$12=0,0,T25/T$12)</f>
        <v>0.82057746489829086</v>
      </c>
      <c r="W25" s="5"/>
      <c r="X25" s="22">
        <f t="shared" ref="X25:X56" si="6">+P25-T25</f>
        <v>24020.262629692326</v>
      </c>
      <c r="Y25" s="5"/>
      <c r="Z25" s="33">
        <f t="shared" ref="Z25:Z56" si="7">IF(T25=0,0,X25/T25)</f>
        <v>6.917079525671567E-2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6419.8099999999995</v>
      </c>
      <c r="E26" s="2"/>
      <c r="F26" s="6">
        <f t="shared" si="0"/>
        <v>5.4399586618695317E-2</v>
      </c>
      <c r="G26" s="2"/>
      <c r="H26" s="2">
        <f>SUM(OSRRefH22_0x_0)</f>
        <v>4840.4839453846162</v>
      </c>
      <c r="I26" s="2"/>
      <c r="J26" s="6">
        <f t="shared" si="1"/>
        <v>5.7842406498071507E-2</v>
      </c>
      <c r="K26" s="2"/>
      <c r="L26" s="2">
        <f t="shared" si="2"/>
        <v>1579.3260546153833</v>
      </c>
      <c r="M26" s="2"/>
      <c r="N26" s="6">
        <f t="shared" si="3"/>
        <v>0.32627441231806276</v>
      </c>
      <c r="O26" s="14"/>
      <c r="P26" s="2">
        <f>SUM(OSRRefP22_0x_0)</f>
        <v>47191.6</v>
      </c>
      <c r="Q26" s="2"/>
      <c r="R26" s="6">
        <f t="shared" si="4"/>
        <v>7.8543029760474517E-2</v>
      </c>
      <c r="S26" s="2"/>
      <c r="T26" s="2">
        <f>SUM(OSRRefT22_0x_0)</f>
        <v>42691.522493384633</v>
      </c>
      <c r="U26" s="2"/>
      <c r="V26" s="6">
        <f t="shared" si="5"/>
        <v>0.10088027243882094</v>
      </c>
      <c r="W26" s="2"/>
      <c r="X26" s="2">
        <f t="shared" si="6"/>
        <v>4500.0775066153656</v>
      </c>
      <c r="Y26" s="2"/>
      <c r="Z26" s="6">
        <f t="shared" si="7"/>
        <v>0.10540915956587601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1216.56</v>
      </c>
      <c r="E27" s="3"/>
      <c r="F27" s="8">
        <f t="shared" si="0"/>
        <v>1.030877254885113E-2</v>
      </c>
      <c r="G27" s="3"/>
      <c r="H27" s="7">
        <v>459.10935692307697</v>
      </c>
      <c r="I27" s="3"/>
      <c r="J27" s="8">
        <f t="shared" si="1"/>
        <v>5.486226243046185E-3</v>
      </c>
      <c r="K27" s="3"/>
      <c r="L27" s="7">
        <f t="shared" si="2"/>
        <v>757.45064307692292</v>
      </c>
      <c r="M27" s="3"/>
      <c r="N27" s="8">
        <f t="shared" si="3"/>
        <v>1.6498261942499084</v>
      </c>
      <c r="O27" s="12"/>
      <c r="P27" s="7">
        <v>8518.18</v>
      </c>
      <c r="Q27" s="3"/>
      <c r="R27" s="8">
        <f t="shared" si="4"/>
        <v>1.4177176981604329E-2</v>
      </c>
      <c r="S27" s="3"/>
      <c r="T27" s="7">
        <v>4214.9415549230798</v>
      </c>
      <c r="U27" s="3"/>
      <c r="V27" s="8">
        <f t="shared" si="5"/>
        <v>9.9599271129352761E-3</v>
      </c>
      <c r="W27" s="3"/>
      <c r="X27" s="7">
        <f t="shared" si="6"/>
        <v>4303.2384450769205</v>
      </c>
      <c r="Y27" s="3"/>
      <c r="Z27" s="8">
        <f t="shared" si="7"/>
        <v>1.0209485443637314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925.84</v>
      </c>
      <c r="E28" s="3"/>
      <c r="F28" s="8">
        <f t="shared" si="0"/>
        <v>7.8452965547349332E-3</v>
      </c>
      <c r="G28" s="3"/>
      <c r="H28" s="7">
        <v>957.50150388461498</v>
      </c>
      <c r="I28" s="3"/>
      <c r="J28" s="8">
        <f t="shared" si="1"/>
        <v>1.1441870654899563E-2</v>
      </c>
      <c r="K28" s="3"/>
      <c r="L28" s="7">
        <f t="shared" si="2"/>
        <v>-31.661503884614945</v>
      </c>
      <c r="M28" s="3"/>
      <c r="N28" s="8">
        <f t="shared" si="3"/>
        <v>-3.3066792852192071E-2</v>
      </c>
      <c r="O28" s="12"/>
      <c r="P28" s="7">
        <v>6960</v>
      </c>
      <c r="Q28" s="3"/>
      <c r="R28" s="8">
        <f t="shared" si="4"/>
        <v>1.1583830324314127E-2</v>
      </c>
      <c r="S28" s="3"/>
      <c r="T28" s="7">
        <v>7218.72268138462</v>
      </c>
      <c r="U28" s="3"/>
      <c r="V28" s="8">
        <f t="shared" si="5"/>
        <v>1.7057876323600795E-2</v>
      </c>
      <c r="W28" s="3"/>
      <c r="X28" s="7">
        <f t="shared" si="6"/>
        <v>-258.72268138462005</v>
      </c>
      <c r="Y28" s="3"/>
      <c r="Z28" s="8">
        <f t="shared" si="7"/>
        <v>-3.5840507081925273E-2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2033.2</v>
      </c>
      <c r="E29" s="3"/>
      <c r="F29" s="8">
        <f t="shared" si="0"/>
        <v>1.7228740338597455E-2</v>
      </c>
      <c r="G29" s="3"/>
      <c r="H29" s="7">
        <v>1977</v>
      </c>
      <c r="I29" s="3"/>
      <c r="J29" s="8">
        <f t="shared" si="1"/>
        <v>2.3624587734811912E-2</v>
      </c>
      <c r="K29" s="3"/>
      <c r="L29" s="7">
        <f t="shared" si="2"/>
        <v>56.200000000000045</v>
      </c>
      <c r="M29" s="3"/>
      <c r="N29" s="8">
        <f t="shared" si="3"/>
        <v>2.8426909458775945E-2</v>
      </c>
      <c r="O29" s="12"/>
      <c r="P29" s="7">
        <v>15732.63</v>
      </c>
      <c r="Q29" s="3"/>
      <c r="R29" s="8">
        <f t="shared" si="4"/>
        <v>2.6184499493565255E-2</v>
      </c>
      <c r="S29" s="3"/>
      <c r="T29" s="7">
        <v>19770</v>
      </c>
      <c r="U29" s="3"/>
      <c r="V29" s="8">
        <f t="shared" si="5"/>
        <v>4.6716604834707812E-2</v>
      </c>
      <c r="W29" s="3"/>
      <c r="X29" s="7">
        <f t="shared" si="6"/>
        <v>-4037.3700000000008</v>
      </c>
      <c r="Y29" s="3"/>
      <c r="Z29" s="8">
        <f t="shared" si="7"/>
        <v>-0.20421699544764799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66.87</v>
      </c>
      <c r="E30" s="3"/>
      <c r="F30" s="8">
        <f t="shared" si="0"/>
        <v>5.6663676295593739E-4</v>
      </c>
      <c r="G30" s="3"/>
      <c r="H30" s="7">
        <v>53.054173038461499</v>
      </c>
      <c r="I30" s="3"/>
      <c r="J30" s="8">
        <f t="shared" si="1"/>
        <v>6.3398227903137402E-4</v>
      </c>
      <c r="K30" s="3"/>
      <c r="L30" s="7">
        <f t="shared" si="2"/>
        <v>13.815826961538505</v>
      </c>
      <c r="M30" s="3"/>
      <c r="N30" s="8">
        <f t="shared" si="3"/>
        <v>0.26040980700090743</v>
      </c>
      <c r="O30" s="12"/>
      <c r="P30" s="7">
        <v>502.67</v>
      </c>
      <c r="Q30" s="3"/>
      <c r="R30" s="8">
        <f t="shared" si="4"/>
        <v>8.3661551567858954E-4</v>
      </c>
      <c r="S30" s="3"/>
      <c r="T30" s="7">
        <v>399.981995538462</v>
      </c>
      <c r="U30" s="3"/>
      <c r="V30" s="8">
        <f t="shared" si="5"/>
        <v>9.4515937413091515E-4</v>
      </c>
      <c r="W30" s="3"/>
      <c r="X30" s="7">
        <f t="shared" si="6"/>
        <v>102.68800446153801</v>
      </c>
      <c r="Y30" s="3"/>
      <c r="Z30" s="8">
        <f t="shared" si="7"/>
        <v>0.25673156693790133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572.16999999999996</v>
      </c>
      <c r="E31" s="3"/>
      <c r="F31" s="8">
        <f t="shared" si="0"/>
        <v>4.8484007276880306E-3</v>
      </c>
      <c r="G31" s="3"/>
      <c r="H31" s="7">
        <v>515.92061538461496</v>
      </c>
      <c r="I31" s="3"/>
      <c r="J31" s="8">
        <f t="shared" si="1"/>
        <v>6.1651046243560888E-3</v>
      </c>
      <c r="K31" s="3"/>
      <c r="L31" s="7">
        <f t="shared" si="2"/>
        <v>56.249384615384997</v>
      </c>
      <c r="M31" s="3"/>
      <c r="N31" s="8">
        <f t="shared" si="3"/>
        <v>0.10902720871785963</v>
      </c>
      <c r="O31" s="12"/>
      <c r="P31" s="7">
        <v>4209.5200000000004</v>
      </c>
      <c r="Q31" s="3"/>
      <c r="R31" s="8">
        <f t="shared" si="4"/>
        <v>7.0060869866101745E-3</v>
      </c>
      <c r="S31" s="3"/>
      <c r="T31" s="7">
        <v>4359.9142153846196</v>
      </c>
      <c r="U31" s="3"/>
      <c r="V31" s="8">
        <f t="shared" si="5"/>
        <v>1.0302498205025212E-2</v>
      </c>
      <c r="W31" s="3"/>
      <c r="X31" s="7">
        <f t="shared" si="6"/>
        <v>-150.3942153846192</v>
      </c>
      <c r="Y31" s="3"/>
      <c r="Z31" s="8">
        <f t="shared" si="7"/>
        <v>-3.4494764794667371E-2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7">
        <v>509.61</v>
      </c>
      <c r="E33" s="3"/>
      <c r="F33" s="8">
        <f t="shared" si="0"/>
        <v>4.3182856403465716E-3</v>
      </c>
      <c r="G33" s="3"/>
      <c r="H33" s="7">
        <v>179.97230769230799</v>
      </c>
      <c r="I33" s="3"/>
      <c r="J33" s="8">
        <f t="shared" si="1"/>
        <v>2.1506178922172459E-3</v>
      </c>
      <c r="K33" s="3"/>
      <c r="L33" s="7">
        <f t="shared" si="2"/>
        <v>329.63769230769202</v>
      </c>
      <c r="M33" s="3"/>
      <c r="N33" s="8">
        <f t="shared" si="3"/>
        <v>1.8316022977893989</v>
      </c>
      <c r="O33" s="12"/>
      <c r="P33" s="7">
        <v>3462.46</v>
      </c>
      <c r="Q33" s="3"/>
      <c r="R33" s="8">
        <f t="shared" si="4"/>
        <v>5.7627225782650423E-3</v>
      </c>
      <c r="S33" s="3"/>
      <c r="T33" s="7">
        <v>1520.90030769231</v>
      </c>
      <c r="U33" s="3"/>
      <c r="V33" s="8">
        <f t="shared" si="5"/>
        <v>3.5938947226832156E-3</v>
      </c>
      <c r="W33" s="3"/>
      <c r="X33" s="7">
        <f t="shared" si="6"/>
        <v>1941.5596923076901</v>
      </c>
      <c r="Y33" s="3"/>
      <c r="Z33" s="8">
        <f t="shared" si="7"/>
        <v>1.2765857712617958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7">
        <v>610.55999999999995</v>
      </c>
      <c r="E34" s="3"/>
      <c r="F34" s="8">
        <f t="shared" si="0"/>
        <v>5.1737063255626898E-3</v>
      </c>
      <c r="G34" s="3"/>
      <c r="H34" s="7">
        <v>697.92598846153896</v>
      </c>
      <c r="I34" s="3"/>
      <c r="J34" s="8">
        <f t="shared" si="1"/>
        <v>8.3400170697091307E-3</v>
      </c>
      <c r="K34" s="3"/>
      <c r="L34" s="7">
        <f t="shared" si="2"/>
        <v>-87.365988461539018</v>
      </c>
      <c r="M34" s="3"/>
      <c r="N34" s="8">
        <f t="shared" si="3"/>
        <v>-0.12517944582365062</v>
      </c>
      <c r="O34" s="12"/>
      <c r="P34" s="7">
        <v>4057.89</v>
      </c>
      <c r="Q34" s="3"/>
      <c r="R34" s="8">
        <f t="shared" si="4"/>
        <v>6.7537225911969909E-3</v>
      </c>
      <c r="S34" s="3"/>
      <c r="T34" s="7">
        <v>5207.0617384615398</v>
      </c>
      <c r="U34" s="3"/>
      <c r="V34" s="8">
        <f t="shared" si="5"/>
        <v>1.2304311865737706E-2</v>
      </c>
      <c r="W34" s="3"/>
      <c r="X34" s="7">
        <f t="shared" si="6"/>
        <v>-1149.1717384615399</v>
      </c>
      <c r="Y34" s="3"/>
      <c r="Z34" s="8">
        <f t="shared" si="7"/>
        <v>-0.2206948555983648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7">
        <v>485</v>
      </c>
      <c r="E35" s="3"/>
      <c r="F35" s="8">
        <f t="shared" si="0"/>
        <v>4.1097477199585706E-3</v>
      </c>
      <c r="G35" s="3"/>
      <c r="H35" s="7"/>
      <c r="I35" s="3"/>
      <c r="J35" s="8">
        <f t="shared" si="1"/>
        <v>0</v>
      </c>
      <c r="K35" s="3"/>
      <c r="L35" s="7">
        <f t="shared" si="2"/>
        <v>485</v>
      </c>
      <c r="M35" s="3"/>
      <c r="N35" s="8">
        <f t="shared" si="3"/>
        <v>0</v>
      </c>
      <c r="O35" s="12"/>
      <c r="P35" s="7">
        <v>3748.25</v>
      </c>
      <c r="Q35" s="3"/>
      <c r="R35" s="8">
        <f t="shared" si="4"/>
        <v>6.2383752892400043E-3</v>
      </c>
      <c r="S35" s="3"/>
      <c r="T35" s="7"/>
      <c r="U35" s="3"/>
      <c r="V35" s="8">
        <f t="shared" si="5"/>
        <v>0</v>
      </c>
      <c r="W35" s="3"/>
      <c r="X35" s="7">
        <f t="shared" si="6"/>
        <v>3748.25</v>
      </c>
      <c r="Y35" s="3"/>
      <c r="Z35" s="8">
        <f t="shared" si="7"/>
        <v>0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33773.369999999995</v>
      </c>
      <c r="E36" s="2"/>
      <c r="F36" s="6">
        <f t="shared" si="0"/>
        <v>0.28618562959343746</v>
      </c>
      <c r="G36" s="2"/>
      <c r="H36" s="2">
        <f>SUM(OSRRefH22_1x_0)</f>
        <v>24385.993626923078</v>
      </c>
      <c r="I36" s="2"/>
      <c r="J36" s="6">
        <f t="shared" si="1"/>
        <v>0.29140568838634717</v>
      </c>
      <c r="K36" s="2"/>
      <c r="L36" s="2">
        <f t="shared" si="2"/>
        <v>9387.3763730769169</v>
      </c>
      <c r="M36" s="2"/>
      <c r="N36" s="6">
        <f t="shared" si="3"/>
        <v>0.38494951309725967</v>
      </c>
      <c r="O36" s="14"/>
      <c r="P36" s="2">
        <f>SUM(OSRRefP22_1x_0)</f>
        <v>204408.37</v>
      </c>
      <c r="Q36" s="2"/>
      <c r="R36" s="6">
        <f t="shared" si="4"/>
        <v>0.34020572915942848</v>
      </c>
      <c r="S36" s="2"/>
      <c r="T36" s="2">
        <f>SUM(OSRRefT22_1x_0)</f>
        <v>183739.6548769231</v>
      </c>
      <c r="U36" s="2"/>
      <c r="V36" s="6">
        <f t="shared" si="5"/>
        <v>0.4341776858548716</v>
      </c>
      <c r="W36" s="2"/>
      <c r="X36" s="2">
        <f t="shared" si="6"/>
        <v>20668.715123076894</v>
      </c>
      <c r="Y36" s="2"/>
      <c r="Z36" s="6">
        <f t="shared" si="7"/>
        <v>0.1124891365281039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7">
        <v>6461.7</v>
      </c>
      <c r="E38" s="3"/>
      <c r="F38" s="8">
        <f t="shared" si="0"/>
        <v>5.4754550189806787E-2</v>
      </c>
      <c r="G38" s="3"/>
      <c r="H38" s="7">
        <v>5699.1230769230797</v>
      </c>
      <c r="I38" s="3"/>
      <c r="J38" s="8">
        <f t="shared" si="1"/>
        <v>6.8102899920212706E-2</v>
      </c>
      <c r="K38" s="3"/>
      <c r="L38" s="7">
        <f t="shared" si="2"/>
        <v>762.57692307692014</v>
      </c>
      <c r="M38" s="3"/>
      <c r="N38" s="8">
        <f t="shared" si="3"/>
        <v>0.13380601064131264</v>
      </c>
      <c r="O38" s="12"/>
      <c r="P38" s="7">
        <v>54653.89</v>
      </c>
      <c r="Q38" s="3"/>
      <c r="R38" s="8">
        <f t="shared" si="4"/>
        <v>9.0962843149961017E-2</v>
      </c>
      <c r="S38" s="3"/>
      <c r="T38" s="7">
        <v>48161.843076923098</v>
      </c>
      <c r="U38" s="3"/>
      <c r="V38" s="8">
        <f t="shared" si="5"/>
        <v>0.11380666621830171</v>
      </c>
      <c r="W38" s="3"/>
      <c r="X38" s="7">
        <f t="shared" si="6"/>
        <v>6492.0469230769013</v>
      </c>
      <c r="Y38" s="3"/>
      <c r="Z38" s="8">
        <f t="shared" si="7"/>
        <v>0.13479648012448234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7">
        <v>4900.72</v>
      </c>
      <c r="E40" s="3"/>
      <c r="F40" s="8">
        <f t="shared" si="0"/>
        <v>4.1527263600320344E-2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4900.72</v>
      </c>
      <c r="M40" s="3"/>
      <c r="N40" s="8">
        <f t="shared" si="3"/>
        <v>0</v>
      </c>
      <c r="O40" s="12"/>
      <c r="P40" s="7">
        <v>23961.07</v>
      </c>
      <c r="Q40" s="3"/>
      <c r="R40" s="8">
        <f t="shared" si="4"/>
        <v>3.9879449607616885E-2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23961.07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7">
        <v>3110.28</v>
      </c>
      <c r="E41" s="3"/>
      <c r="F41" s="8">
        <f t="shared" si="0"/>
        <v>2.6355600285428337E-2</v>
      </c>
      <c r="G41" s="3"/>
      <c r="H41" s="7">
        <v>7655.5504000000001</v>
      </c>
      <c r="I41" s="3"/>
      <c r="J41" s="8">
        <f t="shared" si="1"/>
        <v>9.1481650016729602E-2</v>
      </c>
      <c r="K41" s="3"/>
      <c r="L41" s="7">
        <f t="shared" si="2"/>
        <v>-4545.2703999999994</v>
      </c>
      <c r="M41" s="3"/>
      <c r="N41" s="8">
        <f t="shared" si="3"/>
        <v>-0.59372222276794095</v>
      </c>
      <c r="O41" s="12"/>
      <c r="P41" s="7">
        <v>25248.47</v>
      </c>
      <c r="Q41" s="3"/>
      <c r="R41" s="8">
        <f t="shared" si="4"/>
        <v>4.2022125348927519E-2</v>
      </c>
      <c r="S41" s="3"/>
      <c r="T41" s="7">
        <v>62520.40425</v>
      </c>
      <c r="U41" s="3"/>
      <c r="V41" s="8">
        <f t="shared" si="5"/>
        <v>0.14773601514686074</v>
      </c>
      <c r="W41" s="3"/>
      <c r="X41" s="7">
        <f t="shared" si="6"/>
        <v>-37271.934249999998</v>
      </c>
      <c r="Y41" s="3"/>
      <c r="Z41" s="8">
        <f t="shared" si="7"/>
        <v>-0.59615632203785696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7"/>
      <c r="E42" s="3"/>
      <c r="F42" s="8">
        <f t="shared" si="0"/>
        <v>0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/>
      <c r="Q42" s="3"/>
      <c r="R42" s="8">
        <f t="shared" si="4"/>
        <v>0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0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7">
        <v>19300.669999999998</v>
      </c>
      <c r="E43" s="3"/>
      <c r="F43" s="8">
        <f t="shared" si="0"/>
        <v>0.16354821551788201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19300.669999999998</v>
      </c>
      <c r="M43" s="3"/>
      <c r="N43" s="8">
        <f t="shared" si="3"/>
        <v>0</v>
      </c>
      <c r="O43" s="12"/>
      <c r="P43" s="7">
        <v>100544.94</v>
      </c>
      <c r="Q43" s="3"/>
      <c r="R43" s="8">
        <f t="shared" si="4"/>
        <v>0.16734131105292308</v>
      </c>
      <c r="S43" s="3"/>
      <c r="T43" s="7">
        <v>4247.63</v>
      </c>
      <c r="U43" s="3"/>
      <c r="V43" s="8">
        <f t="shared" si="5"/>
        <v>1.0037170065455233E-2</v>
      </c>
      <c r="W43" s="3"/>
      <c r="X43" s="7">
        <f t="shared" si="6"/>
        <v>96297.31</v>
      </c>
      <c r="Y43" s="3"/>
      <c r="Z43" s="8">
        <f t="shared" si="7"/>
        <v>22.670832911529487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7"/>
      <c r="E44" s="3"/>
      <c r="F44" s="8">
        <f t="shared" si="0"/>
        <v>0</v>
      </c>
      <c r="G44" s="3"/>
      <c r="H44" s="7">
        <v>11031.32015</v>
      </c>
      <c r="I44" s="3"/>
      <c r="J44" s="8">
        <f t="shared" si="1"/>
        <v>0.13182113844940491</v>
      </c>
      <c r="K44" s="3"/>
      <c r="L44" s="7">
        <f t="shared" si="2"/>
        <v>-11031.32015</v>
      </c>
      <c r="M44" s="3"/>
      <c r="N44" s="8">
        <f t="shared" si="3"/>
        <v>-1</v>
      </c>
      <c r="O44" s="12"/>
      <c r="P44" s="7"/>
      <c r="Q44" s="3"/>
      <c r="R44" s="8">
        <f t="shared" si="4"/>
        <v>0</v>
      </c>
      <c r="S44" s="3"/>
      <c r="T44" s="7">
        <v>68809.777549999999</v>
      </c>
      <c r="U44" s="3"/>
      <c r="V44" s="8">
        <f t="shared" si="5"/>
        <v>0.16259783442425388</v>
      </c>
      <c r="W44" s="3"/>
      <c r="X44" s="7">
        <f t="shared" si="6"/>
        <v>-68809.777549999999</v>
      </c>
      <c r="Y44" s="3"/>
      <c r="Z44" s="8">
        <f t="shared" si="7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7"/>
      <c r="E45" s="3"/>
      <c r="F45" s="8">
        <f t="shared" si="0"/>
        <v>0</v>
      </c>
      <c r="G45" s="3"/>
      <c r="H45" s="7">
        <v>0</v>
      </c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/>
      <c r="Q45" s="3"/>
      <c r="R45" s="8">
        <f t="shared" si="4"/>
        <v>0</v>
      </c>
      <c r="S45" s="3"/>
      <c r="T45" s="7">
        <v>0</v>
      </c>
      <c r="U45" s="3"/>
      <c r="V45" s="8">
        <f t="shared" si="5"/>
        <v>0</v>
      </c>
      <c r="W45" s="3"/>
      <c r="X45" s="7">
        <f t="shared" si="6"/>
        <v>0</v>
      </c>
      <c r="Y45" s="3"/>
      <c r="Z45" s="8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50.27</v>
      </c>
      <c r="E47" s="2"/>
      <c r="F47" s="6">
        <f t="shared" si="0"/>
        <v>4.2597323274704609E-4</v>
      </c>
      <c r="G47" s="2"/>
      <c r="H47" s="2">
        <f>SUM(OSRRefH22_2x_0)</f>
        <v>0</v>
      </c>
      <c r="I47" s="2"/>
      <c r="J47" s="6">
        <f t="shared" si="1"/>
        <v>0</v>
      </c>
      <c r="K47" s="2"/>
      <c r="L47" s="2">
        <f t="shared" si="2"/>
        <v>50.27</v>
      </c>
      <c r="M47" s="2"/>
      <c r="N47" s="6">
        <f t="shared" si="3"/>
        <v>0</v>
      </c>
      <c r="O47" s="14"/>
      <c r="P47" s="2">
        <f>SUM(OSRRefP22_2x_0)</f>
        <v>308.88</v>
      </c>
      <c r="Q47" s="2"/>
      <c r="R47" s="6">
        <f t="shared" si="4"/>
        <v>5.1408240094456142E-4</v>
      </c>
      <c r="S47" s="2"/>
      <c r="T47" s="2">
        <f>SUM(OSRRefT22_2x_0)</f>
        <v>0</v>
      </c>
      <c r="U47" s="2"/>
      <c r="V47" s="6">
        <f t="shared" si="5"/>
        <v>0</v>
      </c>
      <c r="W47" s="2"/>
      <c r="X47" s="2">
        <f t="shared" si="6"/>
        <v>308.88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7">
        <v>50.27</v>
      </c>
      <c r="E48" s="3"/>
      <c r="F48" s="8">
        <f t="shared" si="0"/>
        <v>4.2597323274704609E-4</v>
      </c>
      <c r="G48" s="3"/>
      <c r="H48" s="7"/>
      <c r="I48" s="3"/>
      <c r="J48" s="8">
        <f t="shared" si="1"/>
        <v>0</v>
      </c>
      <c r="K48" s="3"/>
      <c r="L48" s="7">
        <f t="shared" si="2"/>
        <v>50.27</v>
      </c>
      <c r="M48" s="3"/>
      <c r="N48" s="8">
        <f t="shared" si="3"/>
        <v>0</v>
      </c>
      <c r="O48" s="12"/>
      <c r="P48" s="7">
        <v>308.88</v>
      </c>
      <c r="Q48" s="3"/>
      <c r="R48" s="8">
        <f t="shared" si="4"/>
        <v>5.1408240094456142E-4</v>
      </c>
      <c r="S48" s="3"/>
      <c r="T48" s="7"/>
      <c r="U48" s="3"/>
      <c r="V48" s="8">
        <f t="shared" si="5"/>
        <v>0</v>
      </c>
      <c r="W48" s="3"/>
      <c r="X48" s="7">
        <f t="shared" si="6"/>
        <v>308.88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","Bad Debts/Over/Short                              ")</f>
        <v xml:space="preserve">     Bad Debts/Over/Short                              </v>
      </c>
      <c r="C49" s="14"/>
      <c r="D49" s="2">
        <f>SUM(OSRRefD22_3x_0)</f>
        <v>-0.08</v>
      </c>
      <c r="E49" s="2"/>
      <c r="F49" s="6">
        <f t="shared" si="0"/>
        <v>-6.7789653112718689E-7</v>
      </c>
      <c r="G49" s="2"/>
      <c r="H49" s="2">
        <f>SUM(OSRRefH22_3x_0)</f>
        <v>0</v>
      </c>
      <c r="I49" s="2"/>
      <c r="J49" s="6">
        <f t="shared" si="1"/>
        <v>0</v>
      </c>
      <c r="K49" s="2"/>
      <c r="L49" s="2">
        <f t="shared" si="2"/>
        <v>-0.08</v>
      </c>
      <c r="M49" s="2"/>
      <c r="N49" s="6">
        <f t="shared" si="3"/>
        <v>0</v>
      </c>
      <c r="O49" s="14"/>
      <c r="P49" s="2">
        <f>SUM(OSRRefP22_3x_0)</f>
        <v>-15.17</v>
      </c>
      <c r="Q49" s="2"/>
      <c r="R49" s="6">
        <f t="shared" si="4"/>
        <v>-2.5248089945380076E-5</v>
      </c>
      <c r="S49" s="2"/>
      <c r="T49" s="2">
        <f>SUM(OSRRefT22_3x_0)</f>
        <v>0</v>
      </c>
      <c r="U49" s="2"/>
      <c r="V49" s="6">
        <f t="shared" si="5"/>
        <v>0</v>
      </c>
      <c r="W49" s="2"/>
      <c r="X49" s="2">
        <f t="shared" si="6"/>
        <v>-15.17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","6272"," - ","CASH (OVER/SHORT)")</f>
        <v xml:space="preserve">          6272 - CASH (OVER/SHORT)</v>
      </c>
      <c r="C50" s="12"/>
      <c r="D50" s="7">
        <v>-0.08</v>
      </c>
      <c r="E50" s="3"/>
      <c r="F50" s="8">
        <f t="shared" si="0"/>
        <v>-6.7789653112718689E-7</v>
      </c>
      <c r="G50" s="3"/>
      <c r="H50" s="7"/>
      <c r="I50" s="3"/>
      <c r="J50" s="8">
        <f t="shared" si="1"/>
        <v>0</v>
      </c>
      <c r="K50" s="3"/>
      <c r="L50" s="7">
        <f t="shared" si="2"/>
        <v>-0.08</v>
      </c>
      <c r="M50" s="3"/>
      <c r="N50" s="8">
        <f t="shared" si="3"/>
        <v>0</v>
      </c>
      <c r="O50" s="12"/>
      <c r="P50" s="7">
        <v>-15.17</v>
      </c>
      <c r="Q50" s="3"/>
      <c r="R50" s="8">
        <f t="shared" si="4"/>
        <v>-2.5248089945380076E-5</v>
      </c>
      <c r="S50" s="3"/>
      <c r="T50" s="7"/>
      <c r="U50" s="3"/>
      <c r="V50" s="8">
        <f t="shared" si="5"/>
        <v>0</v>
      </c>
      <c r="W50" s="3"/>
      <c r="X50" s="7">
        <f t="shared" si="6"/>
        <v>-15.17</v>
      </c>
      <c r="Y50" s="3"/>
      <c r="Z50" s="8">
        <f t="shared" si="7"/>
        <v>0</v>
      </c>
    </row>
    <row r="51" spans="1:26" s="69" customFormat="1" ht="15" customHeight="1" outlineLevel="1" collapsed="1" x14ac:dyDescent="0.3">
      <c r="A51" s="25"/>
      <c r="B51" s="14" t="str">
        <f>CONCATENATE("     ","Bank/card Fees                                    ")</f>
        <v xml:space="preserve">     Bank/card Fees                                    </v>
      </c>
      <c r="C51" s="14"/>
      <c r="D51" s="2">
        <f>SUM(OSRRefD22_4x_0)</f>
        <v>3648.64</v>
      </c>
      <c r="E51" s="2"/>
      <c r="F51" s="6">
        <f t="shared" si="0"/>
        <v>3.0917504991648737E-2</v>
      </c>
      <c r="G51" s="2"/>
      <c r="H51" s="2">
        <f>SUM(OSRRefH22_4x_0)</f>
        <v>3197</v>
      </c>
      <c r="I51" s="2"/>
      <c r="J51" s="6">
        <f t="shared" si="1"/>
        <v>3.8203240762869843E-2</v>
      </c>
      <c r="K51" s="2"/>
      <c r="L51" s="2">
        <f t="shared" si="2"/>
        <v>451.63999999999987</v>
      </c>
      <c r="M51" s="2"/>
      <c r="N51" s="6">
        <f t="shared" si="3"/>
        <v>0.14126994056928366</v>
      </c>
      <c r="O51" s="14"/>
      <c r="P51" s="2">
        <f>SUM(OSRRefP22_4x_0)</f>
        <v>20692.490000000002</v>
      </c>
      <c r="Q51" s="2"/>
      <c r="R51" s="6">
        <f t="shared" si="4"/>
        <v>3.4439409934995238E-2</v>
      </c>
      <c r="S51" s="2"/>
      <c r="T51" s="2">
        <f>SUM(OSRRefT22_4x_0)</f>
        <v>16167</v>
      </c>
      <c r="U51" s="2"/>
      <c r="V51" s="6">
        <f t="shared" si="5"/>
        <v>3.8202698551478058E-2</v>
      </c>
      <c r="W51" s="2"/>
      <c r="X51" s="2">
        <f t="shared" si="6"/>
        <v>4525.4900000000016</v>
      </c>
      <c r="Y51" s="2"/>
      <c r="Z51" s="6">
        <f t="shared" si="7"/>
        <v>0.27992144491866155</v>
      </c>
    </row>
    <row r="52" spans="1:26" s="70" customFormat="1" ht="15" hidden="1" customHeight="1" outlineLevel="2" x14ac:dyDescent="0.3">
      <c r="A52" s="26"/>
      <c r="B52" s="12" t="str">
        <f>CONCATENATE("          ","6381"," - ","BANK/CREDIT CARD FEES")</f>
        <v xml:space="preserve">          6381 - BANK/CREDIT CARD FEES</v>
      </c>
      <c r="C52" s="12"/>
      <c r="D52" s="7">
        <v>3648.64</v>
      </c>
      <c r="E52" s="3"/>
      <c r="F52" s="8">
        <f t="shared" si="0"/>
        <v>3.0917504991648737E-2</v>
      </c>
      <c r="G52" s="3"/>
      <c r="H52" s="7">
        <v>3197</v>
      </c>
      <c r="I52" s="3"/>
      <c r="J52" s="8">
        <f t="shared" si="1"/>
        <v>3.8203240762869843E-2</v>
      </c>
      <c r="K52" s="3"/>
      <c r="L52" s="7">
        <f t="shared" si="2"/>
        <v>451.63999999999987</v>
      </c>
      <c r="M52" s="3"/>
      <c r="N52" s="8">
        <f t="shared" si="3"/>
        <v>0.14126994056928366</v>
      </c>
      <c r="O52" s="12"/>
      <c r="P52" s="7">
        <v>20692.490000000002</v>
      </c>
      <c r="Q52" s="3"/>
      <c r="R52" s="8">
        <f t="shared" si="4"/>
        <v>3.4439409934995238E-2</v>
      </c>
      <c r="S52" s="3"/>
      <c r="T52" s="7">
        <v>16167</v>
      </c>
      <c r="U52" s="3"/>
      <c r="V52" s="8">
        <f t="shared" si="5"/>
        <v>3.8202698551478058E-2</v>
      </c>
      <c r="W52" s="3"/>
      <c r="X52" s="7">
        <f t="shared" si="6"/>
        <v>4525.4900000000016</v>
      </c>
      <c r="Y52" s="3"/>
      <c r="Z52" s="8">
        <f t="shared" si="7"/>
        <v>0.27992144491866155</v>
      </c>
    </row>
    <row r="53" spans="1:26" s="69" customFormat="1" ht="15" customHeight="1" outlineLevel="1" collapsed="1" x14ac:dyDescent="0.3">
      <c r="A53" s="25"/>
      <c r="B53" s="14" t="str">
        <f>CONCATENATE("     ","Depreciation                                      ")</f>
        <v xml:space="preserve">     Depreciation                                      </v>
      </c>
      <c r="C53" s="14"/>
      <c r="D53" s="2">
        <f>SUM(OSRRefD22_5x_0)</f>
        <v>5145.07</v>
      </c>
      <c r="E53" s="2"/>
      <c r="F53" s="6">
        <f t="shared" si="0"/>
        <v>4.3597813817581939E-2</v>
      </c>
      <c r="G53" s="2"/>
      <c r="H53" s="2">
        <f>SUM(OSRRefH22_5x_0)</f>
        <v>4733</v>
      </c>
      <c r="I53" s="2"/>
      <c r="J53" s="6">
        <f t="shared" si="1"/>
        <v>5.6558003919506716E-2</v>
      </c>
      <c r="K53" s="2"/>
      <c r="L53" s="2">
        <f t="shared" si="2"/>
        <v>412.06999999999971</v>
      </c>
      <c r="M53" s="2"/>
      <c r="N53" s="6">
        <f t="shared" si="3"/>
        <v>8.7063173462919863E-2</v>
      </c>
      <c r="O53" s="14"/>
      <c r="P53" s="2">
        <f>SUM(OSRRefP22_5x_0)</f>
        <v>46783.57</v>
      </c>
      <c r="Q53" s="2"/>
      <c r="R53" s="6">
        <f t="shared" si="4"/>
        <v>7.7863927707711597E-2</v>
      </c>
      <c r="S53" s="2"/>
      <c r="T53" s="2">
        <f>SUM(OSRRefT22_5x_0)</f>
        <v>47330</v>
      </c>
      <c r="U53" s="2"/>
      <c r="V53" s="6">
        <f t="shared" si="5"/>
        <v>0.11184101703726458</v>
      </c>
      <c r="W53" s="2"/>
      <c r="X53" s="2">
        <f t="shared" si="6"/>
        <v>-546.43000000000029</v>
      </c>
      <c r="Y53" s="2"/>
      <c r="Z53" s="6">
        <f t="shared" si="7"/>
        <v>-1.1545108810479618E-2</v>
      </c>
    </row>
    <row r="54" spans="1:26" s="70" customFormat="1" ht="15" hidden="1" customHeight="1" outlineLevel="2" x14ac:dyDescent="0.3">
      <c r="A54" s="26"/>
      <c r="B54" s="12" t="str">
        <f>CONCATENATE("          ","6321"," - ","BUILDING DEPRECIATION")</f>
        <v xml:space="preserve">          6321 - BUILDING DEPRECIATION</v>
      </c>
      <c r="C54" s="12"/>
      <c r="D54" s="7">
        <v>4626.5</v>
      </c>
      <c r="E54" s="3"/>
      <c r="F54" s="8">
        <f t="shared" si="0"/>
        <v>3.9203603765749127E-2</v>
      </c>
      <c r="G54" s="3"/>
      <c r="H54" s="7"/>
      <c r="I54" s="3"/>
      <c r="J54" s="8">
        <f t="shared" si="1"/>
        <v>0</v>
      </c>
      <c r="K54" s="3"/>
      <c r="L54" s="7">
        <f t="shared" si="2"/>
        <v>4626.5</v>
      </c>
      <c r="M54" s="3"/>
      <c r="N54" s="8">
        <f t="shared" si="3"/>
        <v>0</v>
      </c>
      <c r="O54" s="12"/>
      <c r="P54" s="7">
        <v>46265</v>
      </c>
      <c r="Q54" s="3"/>
      <c r="R54" s="8">
        <f t="shared" si="4"/>
        <v>7.7000849131378321E-2</v>
      </c>
      <c r="S54" s="3"/>
      <c r="T54" s="7"/>
      <c r="U54" s="3"/>
      <c r="V54" s="8">
        <f t="shared" si="5"/>
        <v>0</v>
      </c>
      <c r="W54" s="3"/>
      <c r="X54" s="7">
        <f t="shared" si="6"/>
        <v>46265</v>
      </c>
      <c r="Y54" s="3"/>
      <c r="Z54" s="8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518.57000000000005</v>
      </c>
      <c r="E55" s="3"/>
      <c r="F55" s="8">
        <f t="shared" si="0"/>
        <v>4.3942100518328166E-3</v>
      </c>
      <c r="G55" s="3"/>
      <c r="H55" s="7">
        <v>4733</v>
      </c>
      <c r="I55" s="3"/>
      <c r="J55" s="8">
        <f t="shared" si="1"/>
        <v>5.6558003919506716E-2</v>
      </c>
      <c r="K55" s="3"/>
      <c r="L55" s="7">
        <f t="shared" si="2"/>
        <v>-4214.43</v>
      </c>
      <c r="M55" s="3"/>
      <c r="N55" s="8">
        <f t="shared" si="3"/>
        <v>-0.89043524191844503</v>
      </c>
      <c r="O55" s="12"/>
      <c r="P55" s="7">
        <v>518.57000000000005</v>
      </c>
      <c r="Q55" s="3"/>
      <c r="R55" s="8">
        <f t="shared" si="4"/>
        <v>8.6307857633327275E-4</v>
      </c>
      <c r="S55" s="3"/>
      <c r="T55" s="7">
        <v>47330</v>
      </c>
      <c r="U55" s="3"/>
      <c r="V55" s="8">
        <f t="shared" si="5"/>
        <v>0.11184101703726458</v>
      </c>
      <c r="W55" s="3"/>
      <c r="X55" s="7">
        <f t="shared" si="6"/>
        <v>-46811.43</v>
      </c>
      <c r="Y55" s="3"/>
      <c r="Z55" s="8">
        <f t="shared" si="7"/>
        <v>-0.98904352419184449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SUM(OSRRefP22_6x_0)</f>
        <v>246.92</v>
      </c>
      <c r="Q56" s="2"/>
      <c r="R56" s="6">
        <f t="shared" si="4"/>
        <v>4.1095968156316731E-4</v>
      </c>
      <c r="S56" s="2"/>
      <c r="T56" s="2">
        <f>SUM(OSRRefT22_6x_0)</f>
        <v>120</v>
      </c>
      <c r="U56" s="2"/>
      <c r="V56" s="6">
        <f t="shared" si="5"/>
        <v>2.8356057562796855E-4</v>
      </c>
      <c r="W56" s="2"/>
      <c r="X56" s="2">
        <f t="shared" si="6"/>
        <v>126.91999999999999</v>
      </c>
      <c r="Y56" s="2"/>
      <c r="Z56" s="6">
        <f t="shared" si="7"/>
        <v>1.0576666666666665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7"/>
      <c r="E57" s="3"/>
      <c r="F57" s="8">
        <f t="shared" ref="F57:F89" si="8">IF(D$12=0,0,D57/D$12)</f>
        <v>0</v>
      </c>
      <c r="G57" s="3"/>
      <c r="H57" s="7"/>
      <c r="I57" s="3"/>
      <c r="J57" s="8">
        <f t="shared" ref="J57:J89" si="9">IF(H$12=0,0,H57/H$12)</f>
        <v>0</v>
      </c>
      <c r="K57" s="3"/>
      <c r="L57" s="7">
        <f t="shared" ref="L57:L89" si="10">+D57-H57</f>
        <v>0</v>
      </c>
      <c r="M57" s="3"/>
      <c r="N57" s="8">
        <f t="shared" ref="N57:N89" si="11">IF(H57=0,0,L57/H57)</f>
        <v>0</v>
      </c>
      <c r="O57" s="12"/>
      <c r="P57" s="7">
        <v>246.92</v>
      </c>
      <c r="Q57" s="3"/>
      <c r="R57" s="8">
        <f t="shared" ref="R57:R89" si="12">IF(P$12=0,0,P57/P$12)</f>
        <v>4.1095968156316731E-4</v>
      </c>
      <c r="S57" s="3"/>
      <c r="T57" s="7">
        <v>120</v>
      </c>
      <c r="U57" s="3"/>
      <c r="V57" s="8">
        <f t="shared" ref="V57:V89" si="13">IF(T$12=0,0,T57/T$12)</f>
        <v>2.8356057562796855E-4</v>
      </c>
      <c r="W57" s="3"/>
      <c r="X57" s="7">
        <f t="shared" ref="X57:X89" si="14">+P57-T57</f>
        <v>126.91999999999999</v>
      </c>
      <c r="Y57" s="3"/>
      <c r="Z57" s="8">
        <f t="shared" ref="Z57:Z89" si="15">IF(T57=0,0,X57/T57)</f>
        <v>1.0576666666666665</v>
      </c>
    </row>
    <row r="58" spans="1:26" s="69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SUM(OSRRefD22_7x_0)</f>
        <v>-631.45000000000005</v>
      </c>
      <c r="E58" s="2"/>
      <c r="F58" s="6">
        <f t="shared" si="8"/>
        <v>-5.3507220572532772E-3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-631.45000000000005</v>
      </c>
      <c r="M58" s="2"/>
      <c r="N58" s="6">
        <f t="shared" si="11"/>
        <v>0</v>
      </c>
      <c r="O58" s="14"/>
      <c r="P58" s="2">
        <f>SUM(OSRRefP22_7x_0)</f>
        <v>1301.9000000000001</v>
      </c>
      <c r="Q58" s="2"/>
      <c r="R58" s="6">
        <f t="shared" si="12"/>
        <v>2.1668087211529547E-3</v>
      </c>
      <c r="S58" s="2"/>
      <c r="T58" s="2">
        <f>SUM(OSRRefT22_7x_0)</f>
        <v>500</v>
      </c>
      <c r="U58" s="2"/>
      <c r="V58" s="6">
        <f t="shared" si="13"/>
        <v>1.1815023984498689E-3</v>
      </c>
      <c r="W58" s="2"/>
      <c r="X58" s="2">
        <f t="shared" si="14"/>
        <v>801.90000000000009</v>
      </c>
      <c r="Y58" s="2"/>
      <c r="Z58" s="6">
        <f t="shared" si="15"/>
        <v>1.6038000000000001</v>
      </c>
    </row>
    <row r="59" spans="1:26" s="70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7">
        <v>-631.45000000000005</v>
      </c>
      <c r="E59" s="3"/>
      <c r="F59" s="8">
        <f t="shared" si="8"/>
        <v>-5.3507220572532772E-3</v>
      </c>
      <c r="G59" s="3"/>
      <c r="H59" s="7"/>
      <c r="I59" s="3"/>
      <c r="J59" s="8">
        <f t="shared" si="9"/>
        <v>0</v>
      </c>
      <c r="K59" s="3"/>
      <c r="L59" s="7">
        <f t="shared" si="10"/>
        <v>-631.45000000000005</v>
      </c>
      <c r="M59" s="3"/>
      <c r="N59" s="8">
        <f t="shared" si="11"/>
        <v>0</v>
      </c>
      <c r="O59" s="12"/>
      <c r="P59" s="7">
        <v>1301.9000000000001</v>
      </c>
      <c r="Q59" s="3"/>
      <c r="R59" s="8">
        <f t="shared" si="12"/>
        <v>2.1668087211529547E-3</v>
      </c>
      <c r="S59" s="3"/>
      <c r="T59" s="7">
        <v>500</v>
      </c>
      <c r="U59" s="3"/>
      <c r="V59" s="8">
        <f t="shared" si="13"/>
        <v>1.1815023984498689E-3</v>
      </c>
      <c r="W59" s="3"/>
      <c r="X59" s="7">
        <f t="shared" si="14"/>
        <v>801.90000000000009</v>
      </c>
      <c r="Y59" s="3"/>
      <c r="Z59" s="8">
        <f t="shared" si="15"/>
        <v>1.6038000000000001</v>
      </c>
    </row>
    <row r="60" spans="1:26" s="69" customFormat="1" ht="15" customHeight="1" outlineLevel="1" collapsed="1" x14ac:dyDescent="0.3">
      <c r="A60" s="25"/>
      <c r="B60" s="14" t="str">
        <f>CONCATENATE("     ","Rent                                              ")</f>
        <v xml:space="preserve">     Rent                                              </v>
      </c>
      <c r="C60" s="14"/>
      <c r="D60" s="2">
        <f>SUM(OSRRefD22_8x_0)</f>
        <v>1850</v>
      </c>
      <c r="E60" s="2"/>
      <c r="F60" s="6">
        <f t="shared" si="8"/>
        <v>1.5676357282316197E-2</v>
      </c>
      <c r="G60" s="2"/>
      <c r="H60" s="2">
        <f>SUM(OSRRefH22_8x_0)</f>
        <v>1850</v>
      </c>
      <c r="I60" s="2"/>
      <c r="J60" s="6">
        <f t="shared" si="9"/>
        <v>2.2106973854022275E-2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18500</v>
      </c>
      <c r="Q60" s="2"/>
      <c r="R60" s="6">
        <f t="shared" si="12"/>
        <v>3.079035359192692E-2</v>
      </c>
      <c r="S60" s="2"/>
      <c r="T60" s="2">
        <f>SUM(OSRRefT22_8x_0)</f>
        <v>18500</v>
      </c>
      <c r="U60" s="2"/>
      <c r="V60" s="6">
        <f t="shared" si="13"/>
        <v>4.3715588742645146E-2</v>
      </c>
      <c r="W60" s="2"/>
      <c r="X60" s="2">
        <f t="shared" si="14"/>
        <v>0</v>
      </c>
      <c r="Y60" s="2"/>
      <c r="Z60" s="6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","6273"," - ","RENT")</f>
        <v xml:space="preserve">          6273 - RENT</v>
      </c>
      <c r="C61" s="12"/>
      <c r="D61" s="7">
        <v>1850</v>
      </c>
      <c r="E61" s="3"/>
      <c r="F61" s="8">
        <f t="shared" si="8"/>
        <v>1.5676357282316197E-2</v>
      </c>
      <c r="G61" s="3"/>
      <c r="H61" s="7">
        <v>1850</v>
      </c>
      <c r="I61" s="3"/>
      <c r="J61" s="8">
        <f t="shared" si="9"/>
        <v>2.2106973854022275E-2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18500</v>
      </c>
      <c r="Q61" s="3"/>
      <c r="R61" s="8">
        <f t="shared" si="12"/>
        <v>3.079035359192692E-2</v>
      </c>
      <c r="S61" s="3"/>
      <c r="T61" s="7">
        <v>18500</v>
      </c>
      <c r="U61" s="3"/>
      <c r="V61" s="8">
        <f t="shared" si="13"/>
        <v>4.3715588742645146E-2</v>
      </c>
      <c r="W61" s="3"/>
      <c r="X61" s="7">
        <f t="shared" si="14"/>
        <v>0</v>
      </c>
      <c r="Y61" s="3"/>
      <c r="Z61" s="8">
        <f t="shared" si="15"/>
        <v>0</v>
      </c>
    </row>
    <row r="62" spans="1:26" s="69" customFormat="1" ht="15" customHeight="1" outlineLevel="1" collapsed="1" x14ac:dyDescent="0.3">
      <c r="A62" s="25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SUM(OSRRefD22_9x_0)</f>
        <v>2500.6999999999998</v>
      </c>
      <c r="E62" s="2"/>
      <c r="F62" s="6">
        <f t="shared" si="8"/>
        <v>2.1190198192371952E-2</v>
      </c>
      <c r="G62" s="2"/>
      <c r="H62" s="2">
        <f>SUM(OSRRefH22_9x_0)</f>
        <v>650</v>
      </c>
      <c r="I62" s="2"/>
      <c r="J62" s="6">
        <f t="shared" si="9"/>
        <v>7.767315137899718E-3</v>
      </c>
      <c r="K62" s="2"/>
      <c r="L62" s="2">
        <f t="shared" si="10"/>
        <v>1850.6999999999998</v>
      </c>
      <c r="M62" s="2"/>
      <c r="N62" s="6">
        <f t="shared" si="11"/>
        <v>2.847230769230769</v>
      </c>
      <c r="O62" s="14"/>
      <c r="P62" s="2">
        <f>SUM(OSRRefP22_9x_0)</f>
        <v>8498.09</v>
      </c>
      <c r="Q62" s="2"/>
      <c r="R62" s="6">
        <f t="shared" si="12"/>
        <v>1.4143740321946933E-2</v>
      </c>
      <c r="S62" s="2"/>
      <c r="T62" s="2">
        <f>SUM(OSRRefT22_9x_0)</f>
        <v>5600</v>
      </c>
      <c r="U62" s="2"/>
      <c r="V62" s="6">
        <f t="shared" si="13"/>
        <v>1.3232826862638531E-2</v>
      </c>
      <c r="W62" s="2"/>
      <c r="X62" s="2">
        <f t="shared" si="14"/>
        <v>2898.09</v>
      </c>
      <c r="Y62" s="2"/>
      <c r="Z62" s="6">
        <f t="shared" si="15"/>
        <v>0.51751607142857148</v>
      </c>
    </row>
    <row r="63" spans="1:26" s="70" customFormat="1" ht="15" hidden="1" customHeight="1" outlineLevel="2" x14ac:dyDescent="0.3">
      <c r="A63" s="26"/>
      <c r="B63" s="12" t="str">
        <f>CONCATENATE("          ","6373"," - ","MAINTENANCE CONTRACTS")</f>
        <v xml:space="preserve">          6373 - MAINTENANCE CONTRACTS</v>
      </c>
      <c r="C63" s="12"/>
      <c r="D63" s="7"/>
      <c r="E63" s="3"/>
      <c r="F63" s="8">
        <f t="shared" si="8"/>
        <v>0</v>
      </c>
      <c r="G63" s="3"/>
      <c r="H63" s="7">
        <v>150</v>
      </c>
      <c r="I63" s="3"/>
      <c r="J63" s="8">
        <f t="shared" si="9"/>
        <v>1.7924573395153196E-3</v>
      </c>
      <c r="K63" s="3"/>
      <c r="L63" s="7">
        <f t="shared" si="10"/>
        <v>-150</v>
      </c>
      <c r="M63" s="3"/>
      <c r="N63" s="8">
        <f t="shared" si="11"/>
        <v>-1</v>
      </c>
      <c r="O63" s="12"/>
      <c r="P63" s="7">
        <v>221.64</v>
      </c>
      <c r="Q63" s="3"/>
      <c r="R63" s="8">
        <f t="shared" si="12"/>
        <v>3.688850794656585E-4</v>
      </c>
      <c r="S63" s="3"/>
      <c r="T63" s="7">
        <v>600</v>
      </c>
      <c r="U63" s="3"/>
      <c r="V63" s="8">
        <f t="shared" si="13"/>
        <v>1.4178028781398427E-3</v>
      </c>
      <c r="W63" s="3"/>
      <c r="X63" s="7">
        <f t="shared" si="14"/>
        <v>-378.36</v>
      </c>
      <c r="Y63" s="3"/>
      <c r="Z63" s="8">
        <f t="shared" si="15"/>
        <v>-0.63060000000000005</v>
      </c>
    </row>
    <row r="64" spans="1:26" s="70" customFormat="1" ht="15" hidden="1" customHeight="1" outlineLevel="2" x14ac:dyDescent="0.3">
      <c r="A64" s="26"/>
      <c r="B64" s="12" t="str">
        <f>CONCATENATE("          ","6375"," - ","OUTSIDE REPAIRS &amp; MAINTENANCE")</f>
        <v xml:space="preserve">          6375 - OUTSIDE REPAIRS &amp; MAINTENANCE</v>
      </c>
      <c r="C64" s="12"/>
      <c r="D64" s="7">
        <v>2500.6999999999998</v>
      </c>
      <c r="E64" s="3"/>
      <c r="F64" s="8">
        <f t="shared" si="8"/>
        <v>2.1190198192371952E-2</v>
      </c>
      <c r="G64" s="3"/>
      <c r="H64" s="7">
        <v>500</v>
      </c>
      <c r="I64" s="3"/>
      <c r="J64" s="8">
        <f t="shared" si="9"/>
        <v>5.9748577983843986E-3</v>
      </c>
      <c r="K64" s="3"/>
      <c r="L64" s="7">
        <f t="shared" si="10"/>
        <v>2000.6999999999998</v>
      </c>
      <c r="M64" s="3"/>
      <c r="N64" s="8">
        <f t="shared" si="11"/>
        <v>4.0013999999999994</v>
      </c>
      <c r="O64" s="12"/>
      <c r="P64" s="7">
        <v>8276.4500000000007</v>
      </c>
      <c r="Q64" s="3"/>
      <c r="R64" s="8">
        <f t="shared" si="12"/>
        <v>1.3774855242481275E-2</v>
      </c>
      <c r="S64" s="3"/>
      <c r="T64" s="7">
        <v>5000</v>
      </c>
      <c r="U64" s="3"/>
      <c r="V64" s="8">
        <f t="shared" si="13"/>
        <v>1.1815023984498688E-2</v>
      </c>
      <c r="W64" s="3"/>
      <c r="X64" s="7">
        <f t="shared" si="14"/>
        <v>3276.4500000000007</v>
      </c>
      <c r="Y64" s="3"/>
      <c r="Z64" s="8">
        <f t="shared" si="15"/>
        <v>0.65529000000000015</v>
      </c>
    </row>
    <row r="65" spans="1:26" s="69" customFormat="1" ht="15" customHeight="1" outlineLevel="1" collapsed="1" x14ac:dyDescent="0.3">
      <c r="A65" s="25"/>
      <c r="B65" s="14" t="str">
        <f>CONCATENATE("     ","Services                                          ")</f>
        <v xml:space="preserve">     Services                                          </v>
      </c>
      <c r="C65" s="14"/>
      <c r="D65" s="2">
        <f>SUM(OSRRefD22_10x_0)</f>
        <v>1138.3</v>
      </c>
      <c r="E65" s="2"/>
      <c r="F65" s="6">
        <f t="shared" si="8"/>
        <v>9.6456202672759589E-3</v>
      </c>
      <c r="G65" s="2"/>
      <c r="H65" s="2">
        <f>SUM(OSRRefH22_10x_0)</f>
        <v>2273</v>
      </c>
      <c r="I65" s="2"/>
      <c r="J65" s="6">
        <f t="shared" si="9"/>
        <v>2.7161703551455474E-2</v>
      </c>
      <c r="K65" s="2"/>
      <c r="L65" s="2">
        <f t="shared" si="10"/>
        <v>-1134.7</v>
      </c>
      <c r="M65" s="2"/>
      <c r="N65" s="6">
        <f t="shared" si="11"/>
        <v>-0.49920809502859659</v>
      </c>
      <c r="O65" s="14"/>
      <c r="P65" s="2">
        <f>SUM(OSRRefP22_10x_0)</f>
        <v>6438.0999999999995</v>
      </c>
      <c r="Q65" s="2"/>
      <c r="R65" s="6">
        <f t="shared" si="12"/>
        <v>1.0715209484334307E-2</v>
      </c>
      <c r="S65" s="2"/>
      <c r="T65" s="2">
        <f>SUM(OSRRefT22_10x_0)</f>
        <v>20517</v>
      </c>
      <c r="U65" s="2"/>
      <c r="V65" s="6">
        <f t="shared" si="13"/>
        <v>4.848176941799192E-2</v>
      </c>
      <c r="W65" s="2"/>
      <c r="X65" s="2">
        <f t="shared" si="14"/>
        <v>-14078.900000000001</v>
      </c>
      <c r="Y65" s="2"/>
      <c r="Z65" s="6">
        <f t="shared" si="15"/>
        <v>-0.68620656041331585</v>
      </c>
    </row>
    <row r="66" spans="1:26" s="70" customFormat="1" ht="15" hidden="1" customHeight="1" outlineLevel="2" x14ac:dyDescent="0.3">
      <c r="A66" s="26"/>
      <c r="B66" s="12" t="str">
        <f>CONCATENATE("          ","6282"," - ","JANITORIAL/EXTERMINATOR EXPENS")</f>
        <v xml:space="preserve">          6282 - JANITORIAL/EXTERMINATOR EXPENS</v>
      </c>
      <c r="C66" s="12"/>
      <c r="D66" s="7">
        <v>95</v>
      </c>
      <c r="E66" s="3"/>
      <c r="F66" s="8">
        <f t="shared" si="8"/>
        <v>8.0500213071353437E-4</v>
      </c>
      <c r="G66" s="3"/>
      <c r="H66" s="7">
        <v>150</v>
      </c>
      <c r="I66" s="3"/>
      <c r="J66" s="8">
        <f t="shared" si="9"/>
        <v>1.7924573395153196E-3</v>
      </c>
      <c r="K66" s="3"/>
      <c r="L66" s="7">
        <f t="shared" si="10"/>
        <v>-55</v>
      </c>
      <c r="M66" s="3"/>
      <c r="N66" s="8">
        <f t="shared" si="11"/>
        <v>-0.36666666666666664</v>
      </c>
      <c r="O66" s="12"/>
      <c r="P66" s="7">
        <v>831.86</v>
      </c>
      <c r="Q66" s="3"/>
      <c r="R66" s="8">
        <f t="shared" si="12"/>
        <v>1.3845007318367744E-3</v>
      </c>
      <c r="S66" s="3"/>
      <c r="T66" s="7">
        <v>1400</v>
      </c>
      <c r="U66" s="3"/>
      <c r="V66" s="8">
        <f t="shared" si="13"/>
        <v>3.3082067156596329E-3</v>
      </c>
      <c r="W66" s="3"/>
      <c r="X66" s="7">
        <f t="shared" si="14"/>
        <v>-568.14</v>
      </c>
      <c r="Y66" s="3"/>
      <c r="Z66" s="8">
        <f t="shared" si="15"/>
        <v>-0.40581428571428568</v>
      </c>
    </row>
    <row r="67" spans="1:26" s="70" customFormat="1" ht="15" hidden="1" customHeight="1" outlineLevel="2" x14ac:dyDescent="0.3">
      <c r="A67" s="26"/>
      <c r="B67" s="12" t="str">
        <f>CONCATENATE("          ","6284"," - ","TRASH REMOVAL EXPENSE")</f>
        <v xml:space="preserve">          6284 - TRASH REMOVAL EXPENSE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/>
      <c r="Q67" s="3"/>
      <c r="R67" s="8">
        <f t="shared" si="12"/>
        <v>0</v>
      </c>
      <c r="S67" s="3"/>
      <c r="T67" s="7">
        <v>0</v>
      </c>
      <c r="U67" s="3"/>
      <c r="V67" s="8">
        <f t="shared" si="13"/>
        <v>0</v>
      </c>
      <c r="W67" s="3"/>
      <c r="X67" s="7">
        <f t="shared" si="14"/>
        <v>0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","6285"," - ","JANITORIAL SERVICES")</f>
        <v xml:space="preserve">          6285 - JANITORIAL SERVICES</v>
      </c>
      <c r="C68" s="12"/>
      <c r="D68" s="7"/>
      <c r="E68" s="3"/>
      <c r="F68" s="8">
        <f t="shared" si="8"/>
        <v>0</v>
      </c>
      <c r="G68" s="3"/>
      <c r="H68" s="7">
        <v>2083</v>
      </c>
      <c r="I68" s="3"/>
      <c r="J68" s="8">
        <f t="shared" si="9"/>
        <v>2.4891257588069406E-2</v>
      </c>
      <c r="K68" s="3"/>
      <c r="L68" s="7">
        <f t="shared" si="10"/>
        <v>-2083</v>
      </c>
      <c r="M68" s="3"/>
      <c r="N68" s="8">
        <f t="shared" si="11"/>
        <v>-1</v>
      </c>
      <c r="O68" s="12"/>
      <c r="P68" s="7">
        <v>3660</v>
      </c>
      <c r="Q68" s="3"/>
      <c r="R68" s="8">
        <f t="shared" si="12"/>
        <v>6.0914969808893256E-3</v>
      </c>
      <c r="S68" s="3"/>
      <c r="T68" s="7">
        <v>18747</v>
      </c>
      <c r="U68" s="3"/>
      <c r="V68" s="8">
        <f t="shared" si="13"/>
        <v>4.4299250927479383E-2</v>
      </c>
      <c r="W68" s="3"/>
      <c r="X68" s="7">
        <f t="shared" si="14"/>
        <v>-15087</v>
      </c>
      <c r="Y68" s="3"/>
      <c r="Z68" s="8">
        <f t="shared" si="15"/>
        <v>-0.80476876300208033</v>
      </c>
    </row>
    <row r="69" spans="1:26" s="70" customFormat="1" ht="15" hidden="1" customHeight="1" outlineLevel="2" x14ac:dyDescent="0.3">
      <c r="A69" s="26"/>
      <c r="B69" s="12" t="str">
        <f>CONCATENATE("          ","6286"," - ","LAUNDRY EXPENSE")</f>
        <v xml:space="preserve">          6286 - LAUNDRY EXPENSE</v>
      </c>
      <c r="C69" s="12"/>
      <c r="D69" s="7">
        <v>1043.3</v>
      </c>
      <c r="E69" s="3"/>
      <c r="F69" s="8">
        <f t="shared" si="8"/>
        <v>8.840618136562426E-3</v>
      </c>
      <c r="G69" s="3"/>
      <c r="H69" s="7">
        <v>40</v>
      </c>
      <c r="I69" s="3"/>
      <c r="J69" s="8">
        <f t="shared" si="9"/>
        <v>4.7798862387075187E-4</v>
      </c>
      <c r="K69" s="3"/>
      <c r="L69" s="7">
        <f t="shared" si="10"/>
        <v>1003.3</v>
      </c>
      <c r="M69" s="3"/>
      <c r="N69" s="8">
        <f t="shared" si="11"/>
        <v>25.0825</v>
      </c>
      <c r="O69" s="12"/>
      <c r="P69" s="7">
        <v>1946.24</v>
      </c>
      <c r="Q69" s="3"/>
      <c r="R69" s="8">
        <f t="shared" si="12"/>
        <v>3.239211771608208E-3</v>
      </c>
      <c r="S69" s="3"/>
      <c r="T69" s="7">
        <v>370</v>
      </c>
      <c r="U69" s="3"/>
      <c r="V69" s="8">
        <f t="shared" si="13"/>
        <v>8.7431177485290299E-4</v>
      </c>
      <c r="W69" s="3"/>
      <c r="X69" s="7">
        <f t="shared" si="14"/>
        <v>1576.24</v>
      </c>
      <c r="Y69" s="3"/>
      <c r="Z69" s="8">
        <f t="shared" si="15"/>
        <v>4.260108108108108</v>
      </c>
    </row>
    <row r="70" spans="1:26" s="69" customFormat="1" ht="15" customHeight="1" outlineLevel="1" collapsed="1" x14ac:dyDescent="0.3">
      <c r="A70" s="2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SUM(OSRRefD22_11x_0)</f>
        <v>17.95</v>
      </c>
      <c r="E70" s="2"/>
      <c r="F70" s="6">
        <f t="shared" si="8"/>
        <v>1.5210303417166255E-4</v>
      </c>
      <c r="G70" s="2"/>
      <c r="H70" s="2">
        <f>SUM(OSRRefH22_11x_0)</f>
        <v>30</v>
      </c>
      <c r="I70" s="2"/>
      <c r="J70" s="6">
        <f t="shared" si="9"/>
        <v>3.584914679030639E-4</v>
      </c>
      <c r="K70" s="2"/>
      <c r="L70" s="2">
        <f t="shared" si="10"/>
        <v>-12.05</v>
      </c>
      <c r="M70" s="2"/>
      <c r="N70" s="6">
        <f t="shared" si="11"/>
        <v>-0.40166666666666667</v>
      </c>
      <c r="O70" s="14"/>
      <c r="P70" s="2">
        <f>SUM(OSRRefP22_11x_0)</f>
        <v>307.69</v>
      </c>
      <c r="Q70" s="2"/>
      <c r="R70" s="6">
        <f t="shared" si="12"/>
        <v>5.121018322540537E-4</v>
      </c>
      <c r="S70" s="2"/>
      <c r="T70" s="2">
        <f>SUM(OSRRefT22_11x_0)</f>
        <v>270</v>
      </c>
      <c r="U70" s="2"/>
      <c r="V70" s="6">
        <f t="shared" si="13"/>
        <v>6.3801129516292921E-4</v>
      </c>
      <c r="W70" s="2"/>
      <c r="X70" s="2">
        <f t="shared" si="14"/>
        <v>37.69</v>
      </c>
      <c r="Y70" s="2"/>
      <c r="Z70" s="6">
        <f t="shared" si="15"/>
        <v>0.13959259259259257</v>
      </c>
    </row>
    <row r="71" spans="1:26" s="70" customFormat="1" ht="15" hidden="1" customHeight="1" outlineLevel="2" x14ac:dyDescent="0.3">
      <c r="A71" s="26"/>
      <c r="B71" s="12" t="str">
        <f>CONCATENATE("          ","6275"," - ","SUBSCRIPTIONS")</f>
        <v xml:space="preserve">          6275 - SUBSCRIPTIONS</v>
      </c>
      <c r="C71" s="12"/>
      <c r="D71" s="7">
        <v>17.95</v>
      </c>
      <c r="E71" s="3"/>
      <c r="F71" s="8">
        <f t="shared" si="8"/>
        <v>1.5210303417166255E-4</v>
      </c>
      <c r="G71" s="3"/>
      <c r="H71" s="7">
        <v>30</v>
      </c>
      <c r="I71" s="3"/>
      <c r="J71" s="8">
        <f t="shared" si="9"/>
        <v>3.584914679030639E-4</v>
      </c>
      <c r="K71" s="3"/>
      <c r="L71" s="7">
        <f t="shared" si="10"/>
        <v>-12.05</v>
      </c>
      <c r="M71" s="3"/>
      <c r="N71" s="8">
        <f t="shared" si="11"/>
        <v>-0.40166666666666667</v>
      </c>
      <c r="O71" s="12"/>
      <c r="P71" s="7">
        <v>307.69</v>
      </c>
      <c r="Q71" s="3"/>
      <c r="R71" s="8">
        <f t="shared" si="12"/>
        <v>5.121018322540537E-4</v>
      </c>
      <c r="S71" s="3"/>
      <c r="T71" s="7">
        <v>270</v>
      </c>
      <c r="U71" s="3"/>
      <c r="V71" s="8">
        <f t="shared" si="13"/>
        <v>6.3801129516292921E-4</v>
      </c>
      <c r="W71" s="3"/>
      <c r="X71" s="7">
        <f t="shared" si="14"/>
        <v>37.69</v>
      </c>
      <c r="Y71" s="3"/>
      <c r="Z71" s="8">
        <f t="shared" si="15"/>
        <v>0.13959259259259257</v>
      </c>
    </row>
    <row r="72" spans="1:26" s="69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SUM(OSRRefD22_12x_0)</f>
        <v>1384.08</v>
      </c>
      <c r="E72" s="2"/>
      <c r="F72" s="6">
        <f t="shared" si="8"/>
        <v>1.172828788503146E-2</v>
      </c>
      <c r="G72" s="2"/>
      <c r="H72" s="2">
        <f>SUM(OSRRefH22_12x_0)</f>
        <v>475</v>
      </c>
      <c r="I72" s="2"/>
      <c r="J72" s="6">
        <f t="shared" si="9"/>
        <v>5.6761149084651784E-3</v>
      </c>
      <c r="K72" s="2"/>
      <c r="L72" s="2">
        <f t="shared" si="10"/>
        <v>909.07999999999993</v>
      </c>
      <c r="M72" s="2"/>
      <c r="N72" s="6">
        <f t="shared" si="11"/>
        <v>1.9138526315789472</v>
      </c>
      <c r="O72" s="14"/>
      <c r="P72" s="2">
        <f>SUM(OSRRefP22_12x_0)</f>
        <v>13443</v>
      </c>
      <c r="Q72" s="2"/>
      <c r="R72" s="6">
        <f t="shared" si="12"/>
        <v>2.2373768828987763E-2</v>
      </c>
      <c r="S72" s="2"/>
      <c r="T72" s="2">
        <f>SUM(OSRRefT22_12x_0)</f>
        <v>7325</v>
      </c>
      <c r="U72" s="2"/>
      <c r="V72" s="6">
        <f t="shared" si="13"/>
        <v>1.7309010137290578E-2</v>
      </c>
      <c r="W72" s="2"/>
      <c r="X72" s="2">
        <f t="shared" si="14"/>
        <v>6118</v>
      </c>
      <c r="Y72" s="2"/>
      <c r="Z72" s="6">
        <f t="shared" si="15"/>
        <v>0.83522184300341296</v>
      </c>
    </row>
    <row r="73" spans="1:26" s="70" customFormat="1" ht="15" hidden="1" customHeight="1" outlineLevel="2" x14ac:dyDescent="0.3">
      <c r="A73" s="26"/>
      <c r="B73" s="12" t="str">
        <f>CONCATENATE("          ","6234"," - ","EXPENDABLE SUPPLIES &amp; EQUIPMEN")</f>
        <v xml:space="preserve">          6234 - EXPENDABLE SUPPLIES &amp; EQUIPMEN</v>
      </c>
      <c r="C73" s="12"/>
      <c r="D73" s="7">
        <v>175.34</v>
      </c>
      <c r="E73" s="3"/>
      <c r="F73" s="8">
        <f t="shared" si="8"/>
        <v>1.4857797220980118E-3</v>
      </c>
      <c r="G73" s="3"/>
      <c r="H73" s="7"/>
      <c r="I73" s="3"/>
      <c r="J73" s="8">
        <f t="shared" si="9"/>
        <v>0</v>
      </c>
      <c r="K73" s="3"/>
      <c r="L73" s="7">
        <f t="shared" si="10"/>
        <v>175.34</v>
      </c>
      <c r="M73" s="3"/>
      <c r="N73" s="8">
        <f t="shared" si="11"/>
        <v>0</v>
      </c>
      <c r="O73" s="12"/>
      <c r="P73" s="7">
        <v>284.07</v>
      </c>
      <c r="Q73" s="3"/>
      <c r="R73" s="8">
        <f t="shared" si="12"/>
        <v>4.7279004026263134E-4</v>
      </c>
      <c r="S73" s="3"/>
      <c r="T73" s="7"/>
      <c r="U73" s="3"/>
      <c r="V73" s="8">
        <f t="shared" si="13"/>
        <v>0</v>
      </c>
      <c r="W73" s="3"/>
      <c r="X73" s="7">
        <f t="shared" si="14"/>
        <v>284.07</v>
      </c>
      <c r="Y73" s="3"/>
      <c r="Z73" s="8">
        <f t="shared" si="15"/>
        <v>0</v>
      </c>
    </row>
    <row r="74" spans="1:26" s="70" customFormat="1" ht="15" hidden="1" customHeight="1" outlineLevel="2" x14ac:dyDescent="0.3">
      <c r="A74" s="26"/>
      <c r="B74" s="12" t="str">
        <f>CONCATENATE("          ","6235"," - ","COVID-19 EXPENSES")</f>
        <v xml:space="preserve">          6235 - COVID-19 EXPENSES</v>
      </c>
      <c r="C74" s="12"/>
      <c r="D74" s="7"/>
      <c r="E74" s="3"/>
      <c r="F74" s="8">
        <f t="shared" si="8"/>
        <v>0</v>
      </c>
      <c r="G74" s="3"/>
      <c r="H74" s="7">
        <v>75</v>
      </c>
      <c r="I74" s="3"/>
      <c r="J74" s="8">
        <f t="shared" si="9"/>
        <v>8.9622866975765981E-4</v>
      </c>
      <c r="K74" s="3"/>
      <c r="L74" s="7">
        <f t="shared" si="10"/>
        <v>-75</v>
      </c>
      <c r="M74" s="3"/>
      <c r="N74" s="8">
        <f t="shared" si="11"/>
        <v>-1</v>
      </c>
      <c r="O74" s="12"/>
      <c r="P74" s="7">
        <v>229.22</v>
      </c>
      <c r="Q74" s="3"/>
      <c r="R74" s="8">
        <f t="shared" si="12"/>
        <v>3.8150080272116157E-4</v>
      </c>
      <c r="S74" s="3"/>
      <c r="T74" s="7">
        <v>925</v>
      </c>
      <c r="U74" s="3"/>
      <c r="V74" s="8">
        <f t="shared" si="13"/>
        <v>2.1857794371322576E-3</v>
      </c>
      <c r="W74" s="3"/>
      <c r="X74" s="7">
        <f t="shared" si="14"/>
        <v>-695.78</v>
      </c>
      <c r="Y74" s="3"/>
      <c r="Z74" s="8">
        <f t="shared" si="15"/>
        <v>-0.75219459459459459</v>
      </c>
    </row>
    <row r="75" spans="1:26" s="70" customFormat="1" ht="15" hidden="1" customHeight="1" outlineLevel="2" x14ac:dyDescent="0.3">
      <c r="A75" s="26"/>
      <c r="B75" s="12" t="str">
        <f>CONCATENATE("          ","6237"," - ","JANITORIAL SUPPLIES")</f>
        <v xml:space="preserve">          6237 - JANITORIAL SUPPLIES</v>
      </c>
      <c r="C75" s="12"/>
      <c r="D75" s="7"/>
      <c r="E75" s="3"/>
      <c r="F75" s="8">
        <f t="shared" si="8"/>
        <v>0</v>
      </c>
      <c r="G75" s="3"/>
      <c r="H75" s="7">
        <v>150</v>
      </c>
      <c r="I75" s="3"/>
      <c r="J75" s="8">
        <f t="shared" si="9"/>
        <v>1.7924573395153196E-3</v>
      </c>
      <c r="K75" s="3"/>
      <c r="L75" s="7">
        <f t="shared" si="10"/>
        <v>-150</v>
      </c>
      <c r="M75" s="3"/>
      <c r="N75" s="8">
        <f t="shared" si="11"/>
        <v>-1</v>
      </c>
      <c r="O75" s="12"/>
      <c r="P75" s="7">
        <v>48.12</v>
      </c>
      <c r="Q75" s="3"/>
      <c r="R75" s="8">
        <f t="shared" si="12"/>
        <v>8.0088206207758018E-5</v>
      </c>
      <c r="S75" s="3"/>
      <c r="T75" s="7">
        <v>1300</v>
      </c>
      <c r="U75" s="3"/>
      <c r="V75" s="8">
        <f t="shared" si="13"/>
        <v>3.0719062359696589E-3</v>
      </c>
      <c r="W75" s="3"/>
      <c r="X75" s="7">
        <f t="shared" si="14"/>
        <v>-1251.8800000000001</v>
      </c>
      <c r="Y75" s="3"/>
      <c r="Z75" s="8">
        <f t="shared" si="15"/>
        <v>-0.96298461538461544</v>
      </c>
    </row>
    <row r="76" spans="1:26" s="70" customFormat="1" ht="15" hidden="1" customHeight="1" outlineLevel="2" x14ac:dyDescent="0.3">
      <c r="A76" s="26"/>
      <c r="B76" s="12" t="str">
        <f>CONCATENATE("          ","6239"," - ","KITCHEN SUPPLIES")</f>
        <v xml:space="preserve">          6239 - KITCHEN SUPPLIES</v>
      </c>
      <c r="C76" s="12"/>
      <c r="D76" s="7">
        <v>1033.3399999999999</v>
      </c>
      <c r="E76" s="3"/>
      <c r="F76" s="8">
        <f t="shared" si="8"/>
        <v>8.7562200184370907E-3</v>
      </c>
      <c r="G76" s="3"/>
      <c r="H76" s="7"/>
      <c r="I76" s="3"/>
      <c r="J76" s="8">
        <f t="shared" si="9"/>
        <v>0</v>
      </c>
      <c r="K76" s="3"/>
      <c r="L76" s="7">
        <f t="shared" si="10"/>
        <v>1033.3399999999999</v>
      </c>
      <c r="M76" s="3"/>
      <c r="N76" s="8">
        <f t="shared" si="11"/>
        <v>0</v>
      </c>
      <c r="O76" s="12"/>
      <c r="P76" s="7">
        <v>5532.83</v>
      </c>
      <c r="Q76" s="3"/>
      <c r="R76" s="8">
        <f t="shared" si="12"/>
        <v>9.2085293007578926E-3</v>
      </c>
      <c r="S76" s="3"/>
      <c r="T76" s="7">
        <v>200</v>
      </c>
      <c r="U76" s="3"/>
      <c r="V76" s="8">
        <f t="shared" si="13"/>
        <v>4.7260095937994755E-4</v>
      </c>
      <c r="W76" s="3"/>
      <c r="X76" s="7">
        <f t="shared" si="14"/>
        <v>5332.83</v>
      </c>
      <c r="Y76" s="3"/>
      <c r="Z76" s="8">
        <f t="shared" si="15"/>
        <v>26.664149999999999</v>
      </c>
    </row>
    <row r="77" spans="1:26" s="70" customFormat="1" ht="15" hidden="1" customHeight="1" outlineLevel="2" x14ac:dyDescent="0.3">
      <c r="A77" s="26"/>
      <c r="B77" s="12" t="str">
        <f>CONCATENATE("          ","6241"," - ","OFFICE EXPENSE")</f>
        <v xml:space="preserve">          6241 - OFFICE EXPENSE</v>
      </c>
      <c r="C77" s="12"/>
      <c r="D77" s="7">
        <v>80.3</v>
      </c>
      <c r="E77" s="3"/>
      <c r="F77" s="8">
        <f t="shared" si="8"/>
        <v>6.8043864311891382E-4</v>
      </c>
      <c r="G77" s="3"/>
      <c r="H77" s="7"/>
      <c r="I77" s="3"/>
      <c r="J77" s="8">
        <f t="shared" si="9"/>
        <v>0</v>
      </c>
      <c r="K77" s="3"/>
      <c r="L77" s="7">
        <f t="shared" si="10"/>
        <v>80.3</v>
      </c>
      <c r="M77" s="3"/>
      <c r="N77" s="8">
        <f t="shared" si="11"/>
        <v>0</v>
      </c>
      <c r="O77" s="12"/>
      <c r="P77" s="7">
        <v>2158.14</v>
      </c>
      <c r="Q77" s="3"/>
      <c r="R77" s="8">
        <f t="shared" si="12"/>
        <v>3.5918861459935765E-3</v>
      </c>
      <c r="S77" s="3"/>
      <c r="T77" s="7">
        <v>200</v>
      </c>
      <c r="U77" s="3"/>
      <c r="V77" s="8">
        <f t="shared" si="13"/>
        <v>4.7260095937994755E-4</v>
      </c>
      <c r="W77" s="3"/>
      <c r="X77" s="7">
        <f t="shared" si="14"/>
        <v>1958.1399999999999</v>
      </c>
      <c r="Y77" s="3"/>
      <c r="Z77" s="8">
        <f t="shared" si="15"/>
        <v>9.7906999999999993</v>
      </c>
    </row>
    <row r="78" spans="1:26" s="70" customFormat="1" ht="15" hidden="1" customHeight="1" outlineLevel="2" x14ac:dyDescent="0.3">
      <c r="A78" s="26"/>
      <c r="B78" s="12" t="str">
        <f>CONCATENATE("          ","6243"," - ","PAPER SUPPLIES")</f>
        <v xml:space="preserve">          6243 - PAPER SUPPLIES</v>
      </c>
      <c r="C78" s="12"/>
      <c r="D78" s="7"/>
      <c r="E78" s="3"/>
      <c r="F78" s="8">
        <f t="shared" si="8"/>
        <v>0</v>
      </c>
      <c r="G78" s="3"/>
      <c r="H78" s="7">
        <v>200</v>
      </c>
      <c r="I78" s="3"/>
      <c r="J78" s="8">
        <f t="shared" si="9"/>
        <v>2.3899431193537594E-3</v>
      </c>
      <c r="K78" s="3"/>
      <c r="L78" s="7">
        <f t="shared" si="10"/>
        <v>-200</v>
      </c>
      <c r="M78" s="3"/>
      <c r="N78" s="8">
        <f t="shared" si="11"/>
        <v>-1</v>
      </c>
      <c r="O78" s="12"/>
      <c r="P78" s="7">
        <v>511.58</v>
      </c>
      <c r="Q78" s="3"/>
      <c r="R78" s="8">
        <f t="shared" si="12"/>
        <v>8.5144481570583646E-4</v>
      </c>
      <c r="S78" s="3"/>
      <c r="T78" s="7">
        <v>2500</v>
      </c>
      <c r="U78" s="3"/>
      <c r="V78" s="8">
        <f t="shared" si="13"/>
        <v>5.9075119922493442E-3</v>
      </c>
      <c r="W78" s="3"/>
      <c r="X78" s="7">
        <f t="shared" si="14"/>
        <v>-1988.42</v>
      </c>
      <c r="Y78" s="3"/>
      <c r="Z78" s="8">
        <f t="shared" si="15"/>
        <v>-0.79536800000000007</v>
      </c>
    </row>
    <row r="79" spans="1:26" s="70" customFormat="1" ht="15" hidden="1" customHeight="1" outlineLevel="2" x14ac:dyDescent="0.3">
      <c r="A79" s="26"/>
      <c r="B79" s="12" t="str">
        <f>CONCATENATE("          ","6245"," - ","PRINTING")</f>
        <v xml:space="preserve">          6245 - PRINTING</v>
      </c>
      <c r="C79" s="12"/>
      <c r="D79" s="7"/>
      <c r="E79" s="3"/>
      <c r="F79" s="8">
        <f t="shared" si="8"/>
        <v>0</v>
      </c>
      <c r="G79" s="3"/>
      <c r="H79" s="7">
        <v>50</v>
      </c>
      <c r="I79" s="3"/>
      <c r="J79" s="8">
        <f t="shared" si="9"/>
        <v>5.9748577983843984E-4</v>
      </c>
      <c r="K79" s="3"/>
      <c r="L79" s="7">
        <f t="shared" si="10"/>
        <v>-50</v>
      </c>
      <c r="M79" s="3"/>
      <c r="N79" s="8">
        <f t="shared" si="11"/>
        <v>-1</v>
      </c>
      <c r="O79" s="12"/>
      <c r="P79" s="7">
        <v>733</v>
      </c>
      <c r="Q79" s="3"/>
      <c r="R79" s="8">
        <f t="shared" si="12"/>
        <v>1.2199637396152667E-3</v>
      </c>
      <c r="S79" s="3"/>
      <c r="T79" s="7">
        <v>900</v>
      </c>
      <c r="U79" s="3"/>
      <c r="V79" s="8">
        <f t="shared" si="13"/>
        <v>2.1267043172097638E-3</v>
      </c>
      <c r="W79" s="3"/>
      <c r="X79" s="7">
        <f t="shared" si="14"/>
        <v>-167</v>
      </c>
      <c r="Y79" s="3"/>
      <c r="Z79" s="8">
        <f t="shared" si="15"/>
        <v>-0.18555555555555556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>
        <v>-103.35</v>
      </c>
      <c r="E80" s="3"/>
      <c r="F80" s="8">
        <f t="shared" si="8"/>
        <v>-8.757575811499345E-4</v>
      </c>
      <c r="G80" s="3"/>
      <c r="H80" s="7"/>
      <c r="I80" s="3"/>
      <c r="J80" s="8">
        <f t="shared" si="9"/>
        <v>0</v>
      </c>
      <c r="K80" s="3"/>
      <c r="L80" s="7">
        <f t="shared" si="10"/>
        <v>-103.35</v>
      </c>
      <c r="M80" s="3"/>
      <c r="N80" s="8">
        <f t="shared" si="11"/>
        <v>0</v>
      </c>
      <c r="O80" s="12"/>
      <c r="P80" s="7">
        <v>957.59</v>
      </c>
      <c r="Q80" s="3"/>
      <c r="R80" s="8">
        <f t="shared" si="12"/>
        <v>1.5937586322212595E-3</v>
      </c>
      <c r="S80" s="3"/>
      <c r="T80" s="7"/>
      <c r="U80" s="3"/>
      <c r="V80" s="8">
        <f t="shared" si="13"/>
        <v>0</v>
      </c>
      <c r="W80" s="3"/>
      <c r="X80" s="7">
        <f t="shared" si="14"/>
        <v>957.59</v>
      </c>
      <c r="Y80" s="3"/>
      <c r="Z80" s="8">
        <f t="shared" si="15"/>
        <v>0</v>
      </c>
    </row>
    <row r="81" spans="1:26" s="70" customFormat="1" ht="15" hidden="1" customHeight="1" outlineLevel="2" x14ac:dyDescent="0.3">
      <c r="A81" s="26"/>
      <c r="B81" s="12" t="str">
        <f>CONCATENATE("          ","6248"," - ","UNIFORMS")</f>
        <v xml:space="preserve">          6248 - UNIFORMS</v>
      </c>
      <c r="C81" s="12"/>
      <c r="D81" s="7">
        <v>198.45</v>
      </c>
      <c r="E81" s="3"/>
      <c r="F81" s="8">
        <f t="shared" si="8"/>
        <v>1.6816070825273778E-3</v>
      </c>
      <c r="G81" s="3"/>
      <c r="H81" s="7"/>
      <c r="I81" s="3"/>
      <c r="J81" s="8">
        <f t="shared" si="9"/>
        <v>0</v>
      </c>
      <c r="K81" s="3"/>
      <c r="L81" s="7">
        <f t="shared" si="10"/>
        <v>198.45</v>
      </c>
      <c r="M81" s="3"/>
      <c r="N81" s="8">
        <f t="shared" si="11"/>
        <v>0</v>
      </c>
      <c r="O81" s="12"/>
      <c r="P81" s="7">
        <v>2988.45</v>
      </c>
      <c r="Q81" s="3"/>
      <c r="R81" s="8">
        <f t="shared" si="12"/>
        <v>4.9738071455023786E-3</v>
      </c>
      <c r="S81" s="3"/>
      <c r="T81" s="7">
        <v>1300</v>
      </c>
      <c r="U81" s="3"/>
      <c r="V81" s="8">
        <f t="shared" si="13"/>
        <v>3.0719062359696589E-3</v>
      </c>
      <c r="W81" s="3"/>
      <c r="X81" s="7">
        <f t="shared" si="14"/>
        <v>1688.4499999999998</v>
      </c>
      <c r="Y81" s="3"/>
      <c r="Z81" s="8">
        <f t="shared" si="15"/>
        <v>1.2988076923076921</v>
      </c>
    </row>
    <row r="82" spans="1:26" s="69" customFormat="1" ht="15" customHeight="1" outlineLevel="1" collapsed="1" x14ac:dyDescent="0.3">
      <c r="A82" s="25"/>
      <c r="B82" s="14" t="str">
        <f>CONCATENATE("     ","Telephone/Data Lines                              ")</f>
        <v xml:space="preserve">     Telephone/Data Lines                              </v>
      </c>
      <c r="C82" s="14"/>
      <c r="D82" s="2">
        <f>SUM(OSRRefD22_13x_0)</f>
        <v>150</v>
      </c>
      <c r="E82" s="2"/>
      <c r="F82" s="6">
        <f t="shared" si="8"/>
        <v>1.2710559958634753E-3</v>
      </c>
      <c r="G82" s="2"/>
      <c r="H82" s="2">
        <f>SUM(OSRRefH22_13x_0)</f>
        <v>150</v>
      </c>
      <c r="I82" s="2"/>
      <c r="J82" s="6">
        <f t="shared" si="9"/>
        <v>1.7924573395153196E-3</v>
      </c>
      <c r="K82" s="2"/>
      <c r="L82" s="2">
        <f t="shared" si="10"/>
        <v>0</v>
      </c>
      <c r="M82" s="2"/>
      <c r="N82" s="6">
        <f t="shared" si="11"/>
        <v>0</v>
      </c>
      <c r="O82" s="14"/>
      <c r="P82" s="2">
        <f>SUM(OSRRefP22_13x_0)</f>
        <v>975</v>
      </c>
      <c r="Q82" s="2"/>
      <c r="R82" s="6">
        <f t="shared" si="12"/>
        <v>1.6227348514664189E-3</v>
      </c>
      <c r="S82" s="2"/>
      <c r="T82" s="2">
        <f>SUM(OSRRefT22_13x_0)</f>
        <v>1500</v>
      </c>
      <c r="U82" s="2"/>
      <c r="V82" s="6">
        <f t="shared" si="13"/>
        <v>3.5445071953496064E-3</v>
      </c>
      <c r="W82" s="2"/>
      <c r="X82" s="2">
        <f t="shared" si="14"/>
        <v>-525</v>
      </c>
      <c r="Y82" s="2"/>
      <c r="Z82" s="6">
        <f t="shared" si="15"/>
        <v>-0.35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150</v>
      </c>
      <c r="E83" s="3"/>
      <c r="F83" s="8">
        <f t="shared" si="8"/>
        <v>1.2710559958634753E-3</v>
      </c>
      <c r="G83" s="3"/>
      <c r="H83" s="7">
        <v>150</v>
      </c>
      <c r="I83" s="3"/>
      <c r="J83" s="8">
        <f t="shared" si="9"/>
        <v>1.7924573395153196E-3</v>
      </c>
      <c r="K83" s="3"/>
      <c r="L83" s="7">
        <f t="shared" si="10"/>
        <v>0</v>
      </c>
      <c r="M83" s="3"/>
      <c r="N83" s="8">
        <f t="shared" si="11"/>
        <v>0</v>
      </c>
      <c r="O83" s="12"/>
      <c r="P83" s="7">
        <v>975</v>
      </c>
      <c r="Q83" s="3"/>
      <c r="R83" s="8">
        <f t="shared" si="12"/>
        <v>1.6227348514664189E-3</v>
      </c>
      <c r="S83" s="3"/>
      <c r="T83" s="7">
        <v>1500</v>
      </c>
      <c r="U83" s="3"/>
      <c r="V83" s="8">
        <f t="shared" si="13"/>
        <v>3.5445071953496064E-3</v>
      </c>
      <c r="W83" s="3"/>
      <c r="X83" s="7">
        <f t="shared" si="14"/>
        <v>-525</v>
      </c>
      <c r="Y83" s="3"/>
      <c r="Z83" s="8">
        <f t="shared" si="15"/>
        <v>-0.35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SUM(OSRRefD22_14x_0)</f>
        <v>0</v>
      </c>
      <c r="E84" s="2"/>
      <c r="F84" s="6">
        <f t="shared" si="8"/>
        <v>0</v>
      </c>
      <c r="G84" s="2"/>
      <c r="H84" s="2">
        <f>SUM(OSRRefH22_14x_0)</f>
        <v>0</v>
      </c>
      <c r="I84" s="2"/>
      <c r="J84" s="6">
        <f t="shared" si="9"/>
        <v>0</v>
      </c>
      <c r="K84" s="2"/>
      <c r="L84" s="2">
        <f t="shared" si="10"/>
        <v>0</v>
      </c>
      <c r="M84" s="2"/>
      <c r="N84" s="6">
        <f t="shared" si="11"/>
        <v>0</v>
      </c>
      <c r="O84" s="14"/>
      <c r="P84" s="2">
        <f>SUM(OSRRefP22_14x_0)</f>
        <v>200</v>
      </c>
      <c r="Q84" s="2"/>
      <c r="R84" s="6">
        <f t="shared" si="12"/>
        <v>3.3286868748029106E-4</v>
      </c>
      <c r="S84" s="2"/>
      <c r="T84" s="2">
        <f>SUM(OSRRefT22_14x_0)</f>
        <v>400</v>
      </c>
      <c r="U84" s="2"/>
      <c r="V84" s="6">
        <f t="shared" si="13"/>
        <v>9.452019187598951E-4</v>
      </c>
      <c r="W84" s="2"/>
      <c r="X84" s="2">
        <f t="shared" si="14"/>
        <v>-200</v>
      </c>
      <c r="Y84" s="2"/>
      <c r="Z84" s="6">
        <f t="shared" si="15"/>
        <v>-0.5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7"/>
      <c r="E85" s="3"/>
      <c r="F85" s="8">
        <f t="shared" si="8"/>
        <v>0</v>
      </c>
      <c r="G85" s="3"/>
      <c r="H85" s="7"/>
      <c r="I85" s="3"/>
      <c r="J85" s="8">
        <f t="shared" si="9"/>
        <v>0</v>
      </c>
      <c r="K85" s="3"/>
      <c r="L85" s="7">
        <f t="shared" si="10"/>
        <v>0</v>
      </c>
      <c r="M85" s="3"/>
      <c r="N85" s="8">
        <f t="shared" si="11"/>
        <v>0</v>
      </c>
      <c r="O85" s="12"/>
      <c r="P85" s="7">
        <v>200</v>
      </c>
      <c r="Q85" s="3"/>
      <c r="R85" s="8">
        <f t="shared" si="12"/>
        <v>3.3286868748029106E-4</v>
      </c>
      <c r="S85" s="3"/>
      <c r="T85" s="7">
        <v>400</v>
      </c>
      <c r="U85" s="3"/>
      <c r="V85" s="8">
        <f t="shared" si="13"/>
        <v>9.452019187598951E-4</v>
      </c>
      <c r="W85" s="3"/>
      <c r="X85" s="7">
        <f t="shared" si="14"/>
        <v>-200</v>
      </c>
      <c r="Y85" s="3"/>
      <c r="Z85" s="8">
        <f t="shared" si="15"/>
        <v>-0.5</v>
      </c>
    </row>
    <row r="86" spans="1:26" s="69" customFormat="1" ht="15" customHeight="1" outlineLevel="1" collapsed="1" x14ac:dyDescent="0.3">
      <c r="A86" s="25"/>
      <c r="B86" s="14" t="str">
        <f>CONCATENATE("     ","Travel                                            ")</f>
        <v xml:space="preserve">     Travel                                            </v>
      </c>
      <c r="C86" s="14"/>
      <c r="D86" s="2">
        <f>SUM(OSRRefD22_15x_0)</f>
        <v>0</v>
      </c>
      <c r="E86" s="2"/>
      <c r="F86" s="6">
        <f t="shared" si="8"/>
        <v>0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SUM(OSRRefP22_15x_0)</f>
        <v>0</v>
      </c>
      <c r="Q86" s="2"/>
      <c r="R86" s="6">
        <f t="shared" si="12"/>
        <v>0</v>
      </c>
      <c r="S86" s="2"/>
      <c r="T86" s="2">
        <f>SUM(OSRRefT22_15x_0)</f>
        <v>600</v>
      </c>
      <c r="U86" s="2"/>
      <c r="V86" s="6">
        <f t="shared" si="13"/>
        <v>1.4178028781398427E-3</v>
      </c>
      <c r="W86" s="2"/>
      <c r="X86" s="2">
        <f t="shared" si="14"/>
        <v>-600</v>
      </c>
      <c r="Y86" s="2"/>
      <c r="Z86" s="6">
        <f t="shared" si="15"/>
        <v>-1</v>
      </c>
    </row>
    <row r="87" spans="1:26" s="70" customFormat="1" ht="15" hidden="1" customHeight="1" outlineLevel="2" x14ac:dyDescent="0.3">
      <c r="A87" s="26"/>
      <c r="B87" s="12" t="str">
        <f>CONCATENATE("          ","6292"," - ","TRAVEL/CONFERENCE")</f>
        <v xml:space="preserve">          6292 - TRAVEL/CONFERENCE</v>
      </c>
      <c r="C87" s="12"/>
      <c r="D87" s="7"/>
      <c r="E87" s="3"/>
      <c r="F87" s="8">
        <f t="shared" si="8"/>
        <v>0</v>
      </c>
      <c r="G87" s="3"/>
      <c r="H87" s="7"/>
      <c r="I87" s="3"/>
      <c r="J87" s="8">
        <f t="shared" si="9"/>
        <v>0</v>
      </c>
      <c r="K87" s="3"/>
      <c r="L87" s="7">
        <f t="shared" si="10"/>
        <v>0</v>
      </c>
      <c r="M87" s="3"/>
      <c r="N87" s="8">
        <f t="shared" si="11"/>
        <v>0</v>
      </c>
      <c r="O87" s="12"/>
      <c r="P87" s="7"/>
      <c r="Q87" s="3"/>
      <c r="R87" s="8">
        <f t="shared" si="12"/>
        <v>0</v>
      </c>
      <c r="S87" s="3"/>
      <c r="T87" s="7">
        <v>600</v>
      </c>
      <c r="U87" s="3"/>
      <c r="V87" s="8">
        <f t="shared" si="13"/>
        <v>1.4178028781398427E-3</v>
      </c>
      <c r="W87" s="3"/>
      <c r="X87" s="7">
        <f t="shared" si="14"/>
        <v>-600</v>
      </c>
      <c r="Y87" s="3"/>
      <c r="Z87" s="8">
        <f t="shared" si="15"/>
        <v>-1</v>
      </c>
    </row>
    <row r="88" spans="1:26" s="69" customFormat="1" ht="15" customHeight="1" outlineLevel="1" collapsed="1" x14ac:dyDescent="0.3">
      <c r="A88" s="25"/>
      <c r="B88" s="14" t="str">
        <f>CONCATENATE("     ","Utilities                                         ")</f>
        <v xml:space="preserve">     Utilities                                         </v>
      </c>
      <c r="C88" s="14"/>
      <c r="D88" s="2">
        <f>SUM(OSRRefD22_16x_0)</f>
        <v>200</v>
      </c>
      <c r="E88" s="2"/>
      <c r="F88" s="6">
        <f t="shared" si="8"/>
        <v>1.694741327817967E-3</v>
      </c>
      <c r="G88" s="2"/>
      <c r="H88" s="2">
        <f>SUM(OSRRefH22_16x_0)</f>
        <v>200</v>
      </c>
      <c r="I88" s="2"/>
      <c r="J88" s="6">
        <f t="shared" si="9"/>
        <v>2.3899431193537594E-3</v>
      </c>
      <c r="K88" s="2"/>
      <c r="L88" s="2">
        <f t="shared" si="10"/>
        <v>0</v>
      </c>
      <c r="M88" s="2"/>
      <c r="N88" s="6">
        <f t="shared" si="11"/>
        <v>0</v>
      </c>
      <c r="O88" s="14"/>
      <c r="P88" s="2">
        <f>SUM(OSRRefP22_16x_0)</f>
        <v>2000</v>
      </c>
      <c r="Q88" s="2"/>
      <c r="R88" s="6">
        <f t="shared" si="12"/>
        <v>3.3286868748029102E-3</v>
      </c>
      <c r="S88" s="2"/>
      <c r="T88" s="2">
        <f>SUM(OSRRefT22_16x_0)</f>
        <v>2000</v>
      </c>
      <c r="U88" s="2"/>
      <c r="V88" s="6">
        <f t="shared" si="13"/>
        <v>4.7260095937994755E-3</v>
      </c>
      <c r="W88" s="2"/>
      <c r="X88" s="2">
        <f t="shared" si="14"/>
        <v>0</v>
      </c>
      <c r="Y88" s="2"/>
      <c r="Z88" s="6">
        <f t="shared" si="15"/>
        <v>0</v>
      </c>
    </row>
    <row r="89" spans="1:26" s="70" customFormat="1" ht="15" hidden="1" customHeight="1" outlineLevel="2" x14ac:dyDescent="0.3">
      <c r="A89" s="26"/>
      <c r="B89" s="12" t="str">
        <f>CONCATENATE("          ","6274"," - ","UTILITIES")</f>
        <v xml:space="preserve">          6274 - UTILITIES</v>
      </c>
      <c r="C89" s="12"/>
      <c r="D89" s="7">
        <v>200</v>
      </c>
      <c r="E89" s="3"/>
      <c r="F89" s="8">
        <f t="shared" si="8"/>
        <v>1.694741327817967E-3</v>
      </c>
      <c r="G89" s="3"/>
      <c r="H89" s="7">
        <v>200</v>
      </c>
      <c r="I89" s="3"/>
      <c r="J89" s="8">
        <f t="shared" si="9"/>
        <v>2.3899431193537594E-3</v>
      </c>
      <c r="K89" s="3"/>
      <c r="L89" s="7">
        <f t="shared" si="10"/>
        <v>0</v>
      </c>
      <c r="M89" s="3"/>
      <c r="N89" s="8">
        <f t="shared" si="11"/>
        <v>0</v>
      </c>
      <c r="O89" s="12"/>
      <c r="P89" s="7">
        <v>2000</v>
      </c>
      <c r="Q89" s="3"/>
      <c r="R89" s="8">
        <f t="shared" si="12"/>
        <v>3.3286868748029102E-3</v>
      </c>
      <c r="S89" s="3"/>
      <c r="T89" s="7">
        <v>2000</v>
      </c>
      <c r="U89" s="3"/>
      <c r="V89" s="8">
        <f t="shared" si="13"/>
        <v>4.7260095937994755E-3</v>
      </c>
      <c r="W89" s="3"/>
      <c r="X89" s="7">
        <f t="shared" si="14"/>
        <v>0</v>
      </c>
      <c r="Y89" s="3"/>
      <c r="Z89" s="8">
        <f t="shared" si="15"/>
        <v>0</v>
      </c>
    </row>
    <row r="90" spans="1:26" s="65" customFormat="1" ht="15" customHeight="1" x14ac:dyDescent="0.3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collapsed="1" x14ac:dyDescent="0.3">
      <c r="A91" s="11"/>
      <c r="B91" s="28" t="s">
        <v>291</v>
      </c>
      <c r="C91" s="11"/>
      <c r="D91" s="5">
        <f>SUM(OSRRefD25x_0)</f>
        <v>0</v>
      </c>
      <c r="E91" s="5"/>
      <c r="F91" s="13">
        <f>IF(D$12=0,0,D91/D$12)</f>
        <v>0</v>
      </c>
      <c r="G91" s="5"/>
      <c r="H91" s="5">
        <f>SUM(OSRRefH25x_0)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SUM(OSRRefP25x_0)</f>
        <v>192</v>
      </c>
      <c r="Q91" s="5"/>
      <c r="R91" s="13">
        <f>IF(P$12=0,0,P91/P$12)</f>
        <v>3.1955393998107939E-4</v>
      </c>
      <c r="S91" s="5"/>
      <c r="T91" s="5">
        <f>SUM(OSRRefT25x_0)</f>
        <v>0</v>
      </c>
      <c r="U91" s="5"/>
      <c r="V91" s="13">
        <f>IF(T$12=0,0,T91/T$12)</f>
        <v>0</v>
      </c>
      <c r="W91" s="5"/>
      <c r="X91" s="5">
        <f>+P91-T91</f>
        <v>192</v>
      </c>
      <c r="Y91" s="5"/>
      <c r="Z91" s="13">
        <f>IF(T91=0,0,X91/T91)</f>
        <v>0</v>
      </c>
    </row>
    <row r="92" spans="1:26" s="70" customFormat="1" ht="15" hidden="1" customHeight="1" outlineLevel="1" x14ac:dyDescent="0.3">
      <c r="A92" s="42"/>
      <c r="B92" s="12" t="str">
        <f>CONCATENATE("          ","9150"," - ","MISC. INCOME")</f>
        <v xml:space="preserve">          9150 - MISC. INCOME</v>
      </c>
      <c r="C92" s="12"/>
      <c r="D92" s="3">
        <f>0</f>
        <v>0</v>
      </c>
      <c r="E92" s="3"/>
      <c r="F92" s="20">
        <f>IF(D$12=0,0,D92/D$12)</f>
        <v>0</v>
      </c>
      <c r="G92" s="3"/>
      <c r="H92" s="3"/>
      <c r="I92" s="3"/>
      <c r="J92" s="20">
        <f>IF(H$12=0,0,H92/H$12)</f>
        <v>0</v>
      </c>
      <c r="K92" s="3"/>
      <c r="L92" s="3">
        <f>+D92-H92</f>
        <v>0</v>
      </c>
      <c r="M92" s="3"/>
      <c r="N92" s="20">
        <f>IF(H92=0,0,L92/H92)</f>
        <v>0</v>
      </c>
      <c r="O92" s="12"/>
      <c r="P92" s="3">
        <f>--192</f>
        <v>192</v>
      </c>
      <c r="Q92" s="3"/>
      <c r="R92" s="20">
        <f>IF(P$12=0,0,P92/P$12)</f>
        <v>3.1955393998107939E-4</v>
      </c>
      <c r="S92" s="3"/>
      <c r="T92" s="3"/>
      <c r="U92" s="3"/>
      <c r="V92" s="20">
        <f>IF(T$12=0,0,T92/T$12)</f>
        <v>0</v>
      </c>
      <c r="W92" s="3"/>
      <c r="X92" s="3">
        <f>+P92-T92</f>
        <v>192</v>
      </c>
      <c r="Y92" s="3"/>
      <c r="Z92" s="20">
        <f>IF(T92=0,0,X92/T92)</f>
        <v>0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292</v>
      </c>
      <c r="C94" s="27"/>
      <c r="D94" s="21">
        <f>+D23-D25+D91</f>
        <v>13341.280000000021</v>
      </c>
      <c r="E94" s="15"/>
      <c r="F94" s="23">
        <f>IF(D$12=0,0,D94/D$12)</f>
        <v>0.11305009290995661</v>
      </c>
      <c r="G94" s="15"/>
      <c r="H94" s="21">
        <f>+H23-H25+H91</f>
        <v>9099.5224276923036</v>
      </c>
      <c r="I94" s="15"/>
      <c r="J94" s="23">
        <f>IF(H$12=0,0,H94/H$12)</f>
        <v>0.10873670507734219</v>
      </c>
      <c r="K94" s="17"/>
      <c r="L94" s="21">
        <f>+D94-H94</f>
        <v>4241.7575723077171</v>
      </c>
      <c r="M94" s="17"/>
      <c r="N94" s="23">
        <f>IF(H94=0,0,L94/H94)</f>
        <v>0.46615166960838555</v>
      </c>
      <c r="O94" s="28"/>
      <c r="P94" s="21">
        <f>+P23-P25+P91</f>
        <v>-31538.150000000023</v>
      </c>
      <c r="Q94" s="15"/>
      <c r="R94" s="23">
        <f>IF(P$12=0,0,P94/P$12)</f>
        <v>-5.2490312980282741E-2</v>
      </c>
      <c r="S94" s="15"/>
      <c r="T94" s="21">
        <f>+T23-T25+T91</f>
        <v>-84881.177370307734</v>
      </c>
      <c r="U94" s="15"/>
      <c r="V94" s="23">
        <f>IF(T$12=0,0,T94/T$12)</f>
        <v>-0.20057462929253464</v>
      </c>
      <c r="W94" s="17"/>
      <c r="X94" s="21">
        <f>+P94-T94</f>
        <v>53343.027370307711</v>
      </c>
      <c r="Y94" s="17"/>
      <c r="Z94" s="23">
        <f>IF(T94=0,0,X94/T94)</f>
        <v>-0.62844353745931458</v>
      </c>
    </row>
    <row r="95" spans="1:26" ht="15" customHeight="1" x14ac:dyDescent="0.3">
      <c r="A95" s="10"/>
      <c r="B95" s="11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49"/>
      <c r="B96" s="11" t="s">
        <v>293</v>
      </c>
      <c r="C96" s="11"/>
      <c r="D96" s="5">
        <v>10441.18</v>
      </c>
      <c r="E96" s="5"/>
      <c r="F96" s="13">
        <f>IF(D$12=0,0,D96/D$12)</f>
        <v>8.8475496285932015E-2</v>
      </c>
      <c r="G96" s="5"/>
      <c r="H96" s="5">
        <v>10713</v>
      </c>
      <c r="I96" s="5"/>
      <c r="J96" s="13">
        <f>IF(H$12=0,0,H96/H$12)</f>
        <v>0.12801730318818413</v>
      </c>
      <c r="K96" s="5"/>
      <c r="L96" s="5">
        <f>+D96-H96</f>
        <v>-271.81999999999971</v>
      </c>
      <c r="M96" s="5"/>
      <c r="N96" s="13">
        <f>IF(H96=0,0,L96/H96)</f>
        <v>-2.5372911416036564E-2</v>
      </c>
      <c r="O96" s="11"/>
      <c r="P96" s="5">
        <v>68065.210000000006</v>
      </c>
      <c r="Q96" s="5"/>
      <c r="R96" s="13">
        <f>IF(P$12=0,0,P96/P$12)</f>
        <v>0.11328388557885191</v>
      </c>
      <c r="S96" s="5"/>
      <c r="T96" s="5">
        <v>52059</v>
      </c>
      <c r="U96" s="5"/>
      <c r="V96" s="13">
        <f>IF(T$12=0,0,T96/T$12)</f>
        <v>0.12301566672180345</v>
      </c>
      <c r="W96" s="5"/>
      <c r="X96" s="5">
        <f>+P96-T96</f>
        <v>16006.210000000006</v>
      </c>
      <c r="Y96" s="5"/>
      <c r="Z96" s="13">
        <f>IF(T96=0,0,X96/T96)</f>
        <v>0.30746287865690863</v>
      </c>
    </row>
    <row r="97" spans="1:26" ht="15" customHeight="1" x14ac:dyDescent="0.3">
      <c r="A97" s="10"/>
      <c r="B97" s="11"/>
      <c r="C97" s="11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O97" s="11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3">
      <c r="A98" s="11"/>
      <c r="B98" s="27" t="s">
        <v>294</v>
      </c>
      <c r="C98" s="27"/>
      <c r="D98" s="29">
        <f>+D94-D96</f>
        <v>2900.1000000000204</v>
      </c>
      <c r="E98" s="15"/>
      <c r="F98" s="30">
        <f>IF(D$12=0,0,D98/D$12)</f>
        <v>2.4574596624024607E-2</v>
      </c>
      <c r="G98" s="15"/>
      <c r="H98" s="29">
        <f>+H94-H96</f>
        <v>-1613.4775723076964</v>
      </c>
      <c r="I98" s="15"/>
      <c r="J98" s="30">
        <f>IF(H$12=0,0,H98/H$12)</f>
        <v>-1.9280598110841932E-2</v>
      </c>
      <c r="K98" s="17"/>
      <c r="L98" s="29">
        <f>D98-H98</f>
        <v>4513.5775723077168</v>
      </c>
      <c r="M98" s="17"/>
      <c r="N98" s="30">
        <f>IF(H98=0,0,L98/H98)</f>
        <v>-2.7974219473358506</v>
      </c>
      <c r="O98" s="28"/>
      <c r="P98" s="29">
        <f>+P94-P96</f>
        <v>-99603.36000000003</v>
      </c>
      <c r="Q98" s="15"/>
      <c r="R98" s="30">
        <f>IF(P$12=0,0,P98/P$12)</f>
        <v>-0.16577419855913467</v>
      </c>
      <c r="S98" s="15"/>
      <c r="T98" s="29">
        <f>+T94-T96</f>
        <v>-136940.17737030773</v>
      </c>
      <c r="U98" s="15"/>
      <c r="V98" s="30">
        <f>IF(T$12=0,0,T98/T$12)</f>
        <v>-0.32359029601433809</v>
      </c>
      <c r="W98" s="17"/>
      <c r="X98" s="29">
        <f>P98-T98</f>
        <v>37336.817370307705</v>
      </c>
      <c r="Y98" s="17"/>
      <c r="Z98" s="30">
        <f>IF(T98=0,0,X98/T98)</f>
        <v>-0.27265056966695089</v>
      </c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297</v>
      </c>
      <c r="C101" s="27"/>
      <c r="D101" s="32">
        <f>SUM(D98:D100)</f>
        <v>2900.1000000000204</v>
      </c>
      <c r="E101" s="15"/>
      <c r="F101" s="34">
        <f>IF(D$12=0,0,D101/D$12)</f>
        <v>2.4574596624024607E-2</v>
      </c>
      <c r="G101" s="15"/>
      <c r="H101" s="32">
        <f>SUM(H98:H100)</f>
        <v>-1613.4775723076964</v>
      </c>
      <c r="I101" s="15"/>
      <c r="J101" s="34">
        <f>IF(H$12=0,0,H101/H$12)</f>
        <v>-1.9280598110841932E-2</v>
      </c>
      <c r="K101" s="17"/>
      <c r="L101" s="32">
        <f>+D101-H101</f>
        <v>4513.5775723077168</v>
      </c>
      <c r="M101" s="17"/>
      <c r="N101" s="34">
        <f>IF(H101=0,0,L101/H101)</f>
        <v>-2.7974219473358506</v>
      </c>
      <c r="O101" s="28"/>
      <c r="P101" s="32">
        <f>SUM(P98:P100)</f>
        <v>-99603.36000000003</v>
      </c>
      <c r="Q101" s="15"/>
      <c r="R101" s="34">
        <f>IF(P$12=0,0,P101/P$12)</f>
        <v>-0.16577419855913467</v>
      </c>
      <c r="S101" s="15"/>
      <c r="T101" s="32">
        <f>SUM(T98:T100)</f>
        <v>-136940.17737030773</v>
      </c>
      <c r="U101" s="15"/>
      <c r="V101" s="34">
        <f>IF(T$12=0,0,T101/T$12)</f>
        <v>-0.32359029601433809</v>
      </c>
      <c r="W101" s="17"/>
      <c r="X101" s="32">
        <f>+P101-T101</f>
        <v>37336.817370307705</v>
      </c>
      <c r="Y101" s="17"/>
      <c r="Z101" s="34">
        <f>IF(T101=0,0,X101/T101)</f>
        <v>-0.27265056966695089</v>
      </c>
    </row>
    <row r="102" spans="1:26" ht="15" customHeight="1" x14ac:dyDescent="0.3">
      <c r="A102" s="10"/>
      <c r="C102" s="10"/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6">
        <v>44694.888552430559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0" t="s">
        <v>298</v>
      </c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A105" s="10"/>
      <c r="B105" s="51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EA4A5-6811-EC3D-CB56-C7B54511B9F2}">
  <sheetPr>
    <tabColor rgb="FF92D050"/>
    <outlinePr summaryBelow="0" summaryRight="0"/>
  </sheetPr>
  <dimension ref="A2:Z3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","406"," - ","OPA! Greek")</f>
        <v>Department 406 - OPA! Greek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0</v>
      </c>
      <c r="E18" s="22"/>
      <c r="F18" s="33">
        <f>IF(D$12=0,0,D18/D$12)</f>
        <v>0</v>
      </c>
      <c r="G18" s="22"/>
      <c r="H18" s="22" cm="1">
        <f t="array" ref="H18">SUM(OSRRefH22x_0)</f>
        <v>0</v>
      </c>
      <c r="I18" s="22"/>
      <c r="J18" s="33">
        <f>IF(H$12=0,0,H18/H$12)</f>
        <v>0</v>
      </c>
      <c r="K18" s="5"/>
      <c r="L18" s="22">
        <f>+D18-H18</f>
        <v>0</v>
      </c>
      <c r="M18" s="5"/>
      <c r="N18" s="33">
        <f>IF(H18=0,0,L18/H18)</f>
        <v>0</v>
      </c>
      <c r="O18" s="11"/>
      <c r="P18" s="22" cm="1">
        <f t="array" ref="P18">SUM(OSRRefP22x_0)</f>
        <v>69.290000000000006</v>
      </c>
      <c r="Q18" s="22"/>
      <c r="R18" s="33">
        <f>IF(P$12=0,0,P18/P$12)</f>
        <v>0</v>
      </c>
      <c r="S18" s="22"/>
      <c r="T18" s="22" cm="1">
        <f t="array" ref="T18">SUM(OSRRefT22x_0)</f>
        <v>0</v>
      </c>
      <c r="U18" s="22"/>
      <c r="V18" s="33">
        <f>IF(T$12=0,0,T18/T$12)</f>
        <v>0</v>
      </c>
      <c r="W18" s="5"/>
      <c r="X18" s="22">
        <f>+P18-T18</f>
        <v>69.290000000000006</v>
      </c>
      <c r="Y18" s="5"/>
      <c r="Z18" s="33">
        <f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","Repair and Maintenance                            ")</f>
        <v xml:space="preserve">     Repair and Maintenance                            </v>
      </c>
      <c r="C19" s="14"/>
      <c r="D19" s="2">
        <f>SUM(OSRRefD22_0x_0)</f>
        <v>0</v>
      </c>
      <c r="E19" s="2"/>
      <c r="F19" s="6">
        <f>IF(D$12=0,0,D19/D$12)</f>
        <v>0</v>
      </c>
      <c r="G19" s="2"/>
      <c r="H19" s="2">
        <f>SUM(OSRRefH22_0x_0)</f>
        <v>0</v>
      </c>
      <c r="I19" s="2"/>
      <c r="J19" s="6">
        <f>IF(H$12=0,0,H19/H$12)</f>
        <v>0</v>
      </c>
      <c r="K19" s="2"/>
      <c r="L19" s="2">
        <f>+D19-H19</f>
        <v>0</v>
      </c>
      <c r="M19" s="2"/>
      <c r="N19" s="6">
        <f>IF(H19=0,0,L19/H19)</f>
        <v>0</v>
      </c>
      <c r="O19" s="14"/>
      <c r="P19" s="2">
        <f>SUM(OSRRefP22_0x_0)</f>
        <v>69.290000000000006</v>
      </c>
      <c r="Q19" s="2"/>
      <c r="R19" s="6">
        <f>IF(P$12=0,0,P19/P$12)</f>
        <v>0</v>
      </c>
      <c r="S19" s="2"/>
      <c r="T19" s="2">
        <f>SUM(OSRRefT22_0x_0)</f>
        <v>0</v>
      </c>
      <c r="U19" s="2"/>
      <c r="V19" s="6">
        <f>IF(T$12=0,0,T19/T$12)</f>
        <v>0</v>
      </c>
      <c r="W19" s="2"/>
      <c r="X19" s="2">
        <f>+P19-T19</f>
        <v>69.290000000000006</v>
      </c>
      <c r="Y19" s="2"/>
      <c r="Z19" s="6">
        <f>IF(T19=0,0,X19/T19)</f>
        <v>0</v>
      </c>
    </row>
    <row r="20" spans="1:26" s="70" customFormat="1" ht="15" hidden="1" customHeight="1" outlineLevel="2" x14ac:dyDescent="0.3">
      <c r="A20" s="26"/>
      <c r="B20" s="12" t="str">
        <f>CONCATENATE("          ","6373"," - ","MAINTENANCE CONTRACTS")</f>
        <v xml:space="preserve">          6373 - MAINTENANCE CONTRACTS</v>
      </c>
      <c r="C20" s="12"/>
      <c r="D20" s="7"/>
      <c r="E20" s="3"/>
      <c r="F20" s="8">
        <f>IF(D$12=0,0,D20/D$12)</f>
        <v>0</v>
      </c>
      <c r="G20" s="3"/>
      <c r="H20" s="7"/>
      <c r="I20" s="3"/>
      <c r="J20" s="8">
        <f>IF(H$12=0,0,H20/H$12)</f>
        <v>0</v>
      </c>
      <c r="K20" s="3"/>
      <c r="L20" s="7">
        <f>+D20-H20</f>
        <v>0</v>
      </c>
      <c r="M20" s="3"/>
      <c r="N20" s="8">
        <f>IF(H20=0,0,L20/H20)</f>
        <v>0</v>
      </c>
      <c r="O20" s="12"/>
      <c r="P20" s="7">
        <v>69.290000000000006</v>
      </c>
      <c r="Q20" s="3"/>
      <c r="R20" s="8">
        <f>IF(P$12=0,0,P20/P$12)</f>
        <v>0</v>
      </c>
      <c r="S20" s="3"/>
      <c r="T20" s="7"/>
      <c r="U20" s="3"/>
      <c r="V20" s="8">
        <f>IF(T$12=0,0,T20/T$12)</f>
        <v>0</v>
      </c>
      <c r="W20" s="3"/>
      <c r="X20" s="7">
        <f>+P20-T20</f>
        <v>69.290000000000006</v>
      </c>
      <c r="Y20" s="3"/>
      <c r="Z20" s="8">
        <f>IF(T20=0,0,X20/T20)</f>
        <v>0</v>
      </c>
    </row>
    <row r="21" spans="1:26" s="69" customFormat="1" ht="15" customHeight="1" outlineLevel="1" collapsed="1" x14ac:dyDescent="0.3">
      <c r="A21" s="25"/>
      <c r="B21" s="14" t="str">
        <f>CONCATENATE("     ","Services                                          ")</f>
        <v xml:space="preserve">     Services                                          </v>
      </c>
      <c r="C21" s="14"/>
      <c r="D21" s="2">
        <f>SUM(OSRRefD22_1x_0)</f>
        <v>0</v>
      </c>
      <c r="E21" s="2"/>
      <c r="F21" s="6">
        <f>IF(D$12=0,0,D21/D$12)</f>
        <v>0</v>
      </c>
      <c r="G21" s="2"/>
      <c r="H21" s="2">
        <f>SUM(OSRRefH22_1x_0)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SUM(OSRRefP22_1x_0)</f>
        <v>0</v>
      </c>
      <c r="Q21" s="2"/>
      <c r="R21" s="6">
        <f>IF(P$12=0,0,P21/P$12)</f>
        <v>0</v>
      </c>
      <c r="S21" s="2"/>
      <c r="T21" s="2">
        <f>SUM(OSRRefT22_1x_0)</f>
        <v>0</v>
      </c>
      <c r="U21" s="2"/>
      <c r="V21" s="6">
        <f>IF(T$12=0,0,T21/T$12)</f>
        <v>0</v>
      </c>
      <c r="W21" s="2"/>
      <c r="X21" s="2">
        <f>+P21-T21</f>
        <v>0</v>
      </c>
      <c r="Y21" s="2"/>
      <c r="Z21" s="6">
        <f>IF(T21=0,0,X21/T21)</f>
        <v>0</v>
      </c>
    </row>
    <row r="22" spans="1:26" s="70" customFormat="1" ht="15" hidden="1" customHeight="1" outlineLevel="2" x14ac:dyDescent="0.3">
      <c r="A22" s="26"/>
      <c r="B22" s="12" t="str">
        <f>CONCATENATE("          ","6284"," - ","TRASH REMOVAL EXPENSE")</f>
        <v xml:space="preserve">          6284 - TRASH REMOVAL EXPENSE</v>
      </c>
      <c r="C22" s="12"/>
      <c r="D22" s="7"/>
      <c r="E22" s="3"/>
      <c r="F22" s="8">
        <f>IF(D$12=0,0,D22/D$12)</f>
        <v>0</v>
      </c>
      <c r="G22" s="3"/>
      <c r="H22" s="7"/>
      <c r="I22" s="3"/>
      <c r="J22" s="8">
        <f>IF(H$12=0,0,H22/H$12)</f>
        <v>0</v>
      </c>
      <c r="K22" s="3"/>
      <c r="L22" s="7">
        <f>+D22-H22</f>
        <v>0</v>
      </c>
      <c r="M22" s="3"/>
      <c r="N22" s="8">
        <f>IF(H22=0,0,L22/H22)</f>
        <v>0</v>
      </c>
      <c r="O22" s="12"/>
      <c r="P22" s="7"/>
      <c r="Q22" s="3"/>
      <c r="R22" s="8">
        <f>IF(P$12=0,0,P22/P$12)</f>
        <v>0</v>
      </c>
      <c r="S22" s="3"/>
      <c r="T22" s="7">
        <v>0</v>
      </c>
      <c r="U22" s="3"/>
      <c r="V22" s="8">
        <f>IF(T$12=0,0,T22/T$12)</f>
        <v>0</v>
      </c>
      <c r="W22" s="3"/>
      <c r="X22" s="7">
        <f>+P22-T22</f>
        <v>0</v>
      </c>
      <c r="Y22" s="3"/>
      <c r="Z22" s="8">
        <f>IF(T22=0,0,X22/T22)</f>
        <v>0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8" t="s">
        <v>291</v>
      </c>
      <c r="C24" s="11"/>
      <c r="D24" s="5">
        <f>SUM(0)</f>
        <v>0</v>
      </c>
      <c r="E24" s="5"/>
      <c r="F24" s="13">
        <f>IF(D$12=0,0,D24/D$12)</f>
        <v>0</v>
      </c>
      <c r="G24" s="5"/>
      <c r="H24" s="5">
        <f>SUM(0)</f>
        <v>0</v>
      </c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>
        <f>SUM(0)</f>
        <v>0</v>
      </c>
      <c r="Q24" s="5"/>
      <c r="R24" s="13">
        <f>IF(P$12=0,0,P24/P$12)</f>
        <v>0</v>
      </c>
      <c r="S24" s="5"/>
      <c r="T24" s="5">
        <f>SUM(0)</f>
        <v>0</v>
      </c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7" t="s">
        <v>292</v>
      </c>
      <c r="C26" s="27"/>
      <c r="D26" s="21">
        <f>+D16-D18+D24</f>
        <v>0</v>
      </c>
      <c r="E26" s="15"/>
      <c r="F26" s="23">
        <f>IF(D$12=0,0,D26/D$12)</f>
        <v>0</v>
      </c>
      <c r="G26" s="15"/>
      <c r="H26" s="21">
        <f>+H16-H18+H24</f>
        <v>0</v>
      </c>
      <c r="I26" s="15"/>
      <c r="J26" s="23">
        <f>IF(H$12=0,0,H26/H$12)</f>
        <v>0</v>
      </c>
      <c r="K26" s="17"/>
      <c r="L26" s="21">
        <f>+D26-H26</f>
        <v>0</v>
      </c>
      <c r="M26" s="17"/>
      <c r="N26" s="23">
        <f>IF(H26=0,0,L26/H26)</f>
        <v>0</v>
      </c>
      <c r="O26" s="28"/>
      <c r="P26" s="21">
        <f>+P16-P18+P24</f>
        <v>-69.290000000000006</v>
      </c>
      <c r="Q26" s="15"/>
      <c r="R26" s="23">
        <f>IF(P$12=0,0,P26/P$12)</f>
        <v>0</v>
      </c>
      <c r="S26" s="15"/>
      <c r="T26" s="21">
        <f>+T16-T18+T24</f>
        <v>0</v>
      </c>
      <c r="U26" s="15"/>
      <c r="V26" s="23">
        <f>IF(T$12=0,0,T26/T$12)</f>
        <v>0</v>
      </c>
      <c r="W26" s="17"/>
      <c r="X26" s="21">
        <f>+P26-T26</f>
        <v>-69.290000000000006</v>
      </c>
      <c r="Y26" s="17"/>
      <c r="Z26" s="23">
        <f>IF(T26=0,0,X26/T26)</f>
        <v>0</v>
      </c>
    </row>
    <row r="27" spans="1:26" ht="15" customHeight="1" x14ac:dyDescent="0.3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293</v>
      </c>
      <c r="C28" s="11"/>
      <c r="D28" s="5"/>
      <c r="E28" s="5"/>
      <c r="F28" s="13">
        <f>IF(D$12=0,0,D28/D$12)</f>
        <v>0</v>
      </c>
      <c r="G28" s="5"/>
      <c r="H28" s="5"/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/>
      <c r="Q28" s="5"/>
      <c r="R28" s="13">
        <f>IF(P$12=0,0,P28/P$12)</f>
        <v>0</v>
      </c>
      <c r="S28" s="5"/>
      <c r="T28" s="5"/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7" t="s">
        <v>294</v>
      </c>
      <c r="C30" s="27"/>
      <c r="D30" s="29">
        <f>+D26-D28</f>
        <v>0</v>
      </c>
      <c r="E30" s="15"/>
      <c r="F30" s="30">
        <f>IF(D$12=0,0,D30/D$12)</f>
        <v>0</v>
      </c>
      <c r="G30" s="15"/>
      <c r="H30" s="29">
        <f>+H26-H28</f>
        <v>0</v>
      </c>
      <c r="I30" s="15"/>
      <c r="J30" s="30">
        <f>IF(H$12=0,0,H30/H$12)</f>
        <v>0</v>
      </c>
      <c r="K30" s="17"/>
      <c r="L30" s="29">
        <f>D30-H30</f>
        <v>0</v>
      </c>
      <c r="M30" s="17"/>
      <c r="N30" s="30">
        <f>IF(H30=0,0,L30/H30)</f>
        <v>0</v>
      </c>
      <c r="O30" s="28"/>
      <c r="P30" s="29">
        <f>+P26-P28</f>
        <v>-69.290000000000006</v>
      </c>
      <c r="Q30" s="15"/>
      <c r="R30" s="30">
        <f>IF(P$12=0,0,P30/P$12)</f>
        <v>0</v>
      </c>
      <c r="S30" s="15"/>
      <c r="T30" s="29">
        <f>+T26-T28</f>
        <v>0</v>
      </c>
      <c r="U30" s="15"/>
      <c r="V30" s="30">
        <f>IF(T$12=0,0,T30/T$12)</f>
        <v>0</v>
      </c>
      <c r="W30" s="17"/>
      <c r="X30" s="29">
        <f>P30-T30</f>
        <v>-69.290000000000006</v>
      </c>
      <c r="Y30" s="17"/>
      <c r="Z30" s="30">
        <f>IF(T30=0,0,X30/T30)</f>
        <v>0</v>
      </c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11"/>
      <c r="B33" s="27" t="s">
        <v>297</v>
      </c>
      <c r="C33" s="27"/>
      <c r="D33" s="32">
        <f>SUM(D30:D32)</f>
        <v>0</v>
      </c>
      <c r="E33" s="15"/>
      <c r="F33" s="34">
        <f>IF(D$12=0,0,D33/D$12)</f>
        <v>0</v>
      </c>
      <c r="G33" s="15"/>
      <c r="H33" s="32">
        <f>SUM(H30:H32)</f>
        <v>0</v>
      </c>
      <c r="I33" s="15"/>
      <c r="J33" s="34">
        <f>IF(H$12=0,0,H33/H$12)</f>
        <v>0</v>
      </c>
      <c r="K33" s="17"/>
      <c r="L33" s="32">
        <f>+D33-H33</f>
        <v>0</v>
      </c>
      <c r="M33" s="17"/>
      <c r="N33" s="34">
        <f>IF(H33=0,0,L33/H33)</f>
        <v>0</v>
      </c>
      <c r="O33" s="28"/>
      <c r="P33" s="32">
        <f>SUM(P30:P32)</f>
        <v>-69.290000000000006</v>
      </c>
      <c r="Q33" s="15"/>
      <c r="R33" s="34">
        <f>IF(P$12=0,0,P33/P$12)</f>
        <v>0</v>
      </c>
      <c r="S33" s="15"/>
      <c r="T33" s="32">
        <f>SUM(T30:T32)</f>
        <v>0</v>
      </c>
      <c r="U33" s="15"/>
      <c r="V33" s="34">
        <f>IF(T$12=0,0,T33/T$12)</f>
        <v>0</v>
      </c>
      <c r="W33" s="17"/>
      <c r="X33" s="32">
        <f>+P33-T33</f>
        <v>-69.290000000000006</v>
      </c>
      <c r="Y33" s="17"/>
      <c r="Z33" s="34">
        <f>IF(T33=0,0,X33/T33)</f>
        <v>0</v>
      </c>
    </row>
    <row r="34" spans="1:26" ht="15" customHeight="1" x14ac:dyDescent="0.3">
      <c r="A34" s="10"/>
      <c r="C34" s="10"/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6" ht="15" customHeight="1" x14ac:dyDescent="0.3">
      <c r="A35" s="10"/>
      <c r="B35" s="56">
        <v>44694.888552430559</v>
      </c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6" ht="15" customHeight="1" x14ac:dyDescent="0.3">
      <c r="A36" s="10"/>
      <c r="B36" s="50" t="s">
        <v>298</v>
      </c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1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F5E76-F9ED-D31E-074E-348B0406B49C}">
  <sheetPr>
    <tabColor rgb="FF92D050"/>
    <outlinePr summaryBelow="0" summaryRight="0"/>
  </sheetPr>
  <dimension ref="A2:Z9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","411"," - ","University Dining")</f>
        <v>Department 411 - University Dining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61037.41</v>
      </c>
      <c r="E18" s="22"/>
      <c r="F18" s="33">
        <f t="shared" ref="F18:F49" si="0">IF(D$12=0,0,D18/D$12)</f>
        <v>0</v>
      </c>
      <c r="G18" s="22"/>
      <c r="H18" s="22" cm="1">
        <f t="array" ref="H18">SUM(OSRRefH22x_0)</f>
        <v>47582.665538461551</v>
      </c>
      <c r="I18" s="22"/>
      <c r="J18" s="33">
        <f t="shared" ref="J18:J49" si="1">IF(H$12=0,0,H18/H$12)</f>
        <v>0</v>
      </c>
      <c r="K18" s="5"/>
      <c r="L18" s="22">
        <f t="shared" ref="L18:L49" si="2">+D18-H18</f>
        <v>13454.744461538452</v>
      </c>
      <c r="M18" s="5"/>
      <c r="N18" s="33">
        <f t="shared" ref="N18:N49" si="3">IF(H18=0,0,L18/H18)</f>
        <v>0.28276567336613045</v>
      </c>
      <c r="O18" s="11"/>
      <c r="P18" s="22" cm="1">
        <f t="array" ref="P18">SUM(OSRRefP22x_0)</f>
        <v>504074.1</v>
      </c>
      <c r="Q18" s="22"/>
      <c r="R18" s="33">
        <f t="shared" ref="R18:R49" si="4">IF(P$12=0,0,P18/P$12)</f>
        <v>0</v>
      </c>
      <c r="S18" s="22"/>
      <c r="T18" s="22" cm="1">
        <f t="array" ref="T18">SUM(OSRRefT22x_0)</f>
        <v>454013.45673846197</v>
      </c>
      <c r="U18" s="22"/>
      <c r="V18" s="33">
        <f t="shared" ref="V18:V49" si="5">IF(T$12=0,0,T18/T$12)</f>
        <v>0</v>
      </c>
      <c r="W18" s="5"/>
      <c r="X18" s="22">
        <f t="shared" ref="X18:X49" si="6">+P18-T18</f>
        <v>50060.643261538004</v>
      </c>
      <c r="Y18" s="5"/>
      <c r="Z18" s="33">
        <f t="shared" ref="Z18:Z49" si="7">IF(T18=0,0,X18/T18)</f>
        <v>0.11026246583342095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12232.089999999998</v>
      </c>
      <c r="E19" s="2"/>
      <c r="F19" s="6">
        <f t="shared" si="0"/>
        <v>0</v>
      </c>
      <c r="G19" s="2"/>
      <c r="H19" s="2">
        <f>SUM(OSRRefH22_0x_0)</f>
        <v>9825.5116923077076</v>
      </c>
      <c r="I19" s="2"/>
      <c r="J19" s="6">
        <f t="shared" si="1"/>
        <v>0</v>
      </c>
      <c r="K19" s="2"/>
      <c r="L19" s="2">
        <f t="shared" si="2"/>
        <v>2406.5783076922908</v>
      </c>
      <c r="M19" s="2"/>
      <c r="N19" s="6">
        <f t="shared" si="3"/>
        <v>0.24493160082200871</v>
      </c>
      <c r="O19" s="14"/>
      <c r="P19" s="2">
        <f>SUM(OSRRefP22_0x_0)</f>
        <v>107955.44999999998</v>
      </c>
      <c r="Q19" s="2"/>
      <c r="R19" s="6">
        <f t="shared" si="4"/>
        <v>0</v>
      </c>
      <c r="S19" s="2"/>
      <c r="T19" s="2">
        <f>SUM(OSRRefT22_0x_0)</f>
        <v>90201.30289230778</v>
      </c>
      <c r="U19" s="2"/>
      <c r="V19" s="6">
        <f t="shared" si="5"/>
        <v>0</v>
      </c>
      <c r="W19" s="2"/>
      <c r="X19" s="2">
        <f t="shared" si="6"/>
        <v>17754.147107692203</v>
      </c>
      <c r="Y19" s="2"/>
      <c r="Z19" s="6">
        <f t="shared" si="7"/>
        <v>0.19682805611897927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2077.61</v>
      </c>
      <c r="E20" s="3"/>
      <c r="F20" s="8">
        <f t="shared" si="0"/>
        <v>0</v>
      </c>
      <c r="G20" s="3"/>
      <c r="H20" s="7">
        <v>1697.78861538462</v>
      </c>
      <c r="I20" s="3"/>
      <c r="J20" s="8">
        <f t="shared" si="1"/>
        <v>0</v>
      </c>
      <c r="K20" s="3"/>
      <c r="L20" s="7">
        <f t="shared" si="2"/>
        <v>379.82138461538011</v>
      </c>
      <c r="M20" s="3"/>
      <c r="N20" s="8">
        <f t="shared" si="3"/>
        <v>0.22371535606588733</v>
      </c>
      <c r="O20" s="12"/>
      <c r="P20" s="7">
        <v>15034.53</v>
      </c>
      <c r="Q20" s="3"/>
      <c r="R20" s="8">
        <f t="shared" si="4"/>
        <v>0</v>
      </c>
      <c r="S20" s="3"/>
      <c r="T20" s="7">
        <v>14940.5398153846</v>
      </c>
      <c r="U20" s="3"/>
      <c r="V20" s="8">
        <f t="shared" si="5"/>
        <v>0</v>
      </c>
      <c r="W20" s="3"/>
      <c r="X20" s="7">
        <f t="shared" si="6"/>
        <v>93.990184615400722</v>
      </c>
      <c r="Y20" s="3"/>
      <c r="Z20" s="8">
        <f t="shared" si="7"/>
        <v>6.2909497097699899E-3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232.92</v>
      </c>
      <c r="E21" s="3"/>
      <c r="F21" s="8">
        <f t="shared" si="0"/>
        <v>0</v>
      </c>
      <c r="G21" s="3"/>
      <c r="H21" s="7">
        <v>840.79692307692505</v>
      </c>
      <c r="I21" s="3"/>
      <c r="J21" s="8">
        <f t="shared" si="1"/>
        <v>0</v>
      </c>
      <c r="K21" s="3"/>
      <c r="L21" s="7">
        <f t="shared" si="2"/>
        <v>-607.8769230769251</v>
      </c>
      <c r="M21" s="3"/>
      <c r="N21" s="8">
        <f t="shared" si="3"/>
        <v>-0.72297710230953127</v>
      </c>
      <c r="O21" s="12"/>
      <c r="P21" s="7">
        <v>2402.7600000000002</v>
      </c>
      <c r="Q21" s="3"/>
      <c r="R21" s="8">
        <f t="shared" si="4"/>
        <v>0</v>
      </c>
      <c r="S21" s="3"/>
      <c r="T21" s="7">
        <v>7399.0129230769398</v>
      </c>
      <c r="U21" s="3"/>
      <c r="V21" s="8">
        <f t="shared" si="5"/>
        <v>0</v>
      </c>
      <c r="W21" s="3"/>
      <c r="X21" s="7">
        <f t="shared" si="6"/>
        <v>-4996.2529230769396</v>
      </c>
      <c r="Y21" s="3"/>
      <c r="Z21" s="8">
        <f t="shared" si="7"/>
        <v>-0.67525938595052581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3042.72</v>
      </c>
      <c r="E22" s="3"/>
      <c r="F22" s="8">
        <f t="shared" si="0"/>
        <v>0</v>
      </c>
      <c r="G22" s="3"/>
      <c r="H22" s="7">
        <v>2764</v>
      </c>
      <c r="I22" s="3"/>
      <c r="J22" s="8">
        <f t="shared" si="1"/>
        <v>0</v>
      </c>
      <c r="K22" s="3"/>
      <c r="L22" s="7">
        <f t="shared" si="2"/>
        <v>278.7199999999998</v>
      </c>
      <c r="M22" s="3"/>
      <c r="N22" s="8">
        <f t="shared" si="3"/>
        <v>0.10083936324167865</v>
      </c>
      <c r="O22" s="12"/>
      <c r="P22" s="7">
        <v>32099.79</v>
      </c>
      <c r="Q22" s="3"/>
      <c r="R22" s="8">
        <f t="shared" si="4"/>
        <v>0</v>
      </c>
      <c r="S22" s="3"/>
      <c r="T22" s="7">
        <v>27640</v>
      </c>
      <c r="U22" s="3"/>
      <c r="V22" s="8">
        <f t="shared" si="5"/>
        <v>0</v>
      </c>
      <c r="W22" s="3"/>
      <c r="X22" s="7">
        <f t="shared" si="6"/>
        <v>4459.7900000000009</v>
      </c>
      <c r="Y22" s="3"/>
      <c r="Z22" s="8">
        <f t="shared" si="7"/>
        <v>0.16135274963820553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46.94</v>
      </c>
      <c r="E23" s="3"/>
      <c r="F23" s="8">
        <f t="shared" si="0"/>
        <v>0</v>
      </c>
      <c r="G23" s="3"/>
      <c r="H23" s="7">
        <v>46.5876923076924</v>
      </c>
      <c r="I23" s="3"/>
      <c r="J23" s="8">
        <f t="shared" si="1"/>
        <v>0</v>
      </c>
      <c r="K23" s="3"/>
      <c r="L23" s="7">
        <f t="shared" si="2"/>
        <v>0.35230769230759762</v>
      </c>
      <c r="M23" s="3"/>
      <c r="N23" s="8">
        <f t="shared" si="3"/>
        <v>7.5622482002489265E-3</v>
      </c>
      <c r="O23" s="12"/>
      <c r="P23" s="7">
        <v>484.24</v>
      </c>
      <c r="Q23" s="3"/>
      <c r="R23" s="8">
        <f t="shared" si="4"/>
        <v>0</v>
      </c>
      <c r="S23" s="3"/>
      <c r="T23" s="7">
        <v>409.97169230769299</v>
      </c>
      <c r="U23" s="3"/>
      <c r="V23" s="8">
        <f t="shared" si="5"/>
        <v>0</v>
      </c>
      <c r="W23" s="3"/>
      <c r="X23" s="7">
        <f t="shared" si="6"/>
        <v>74.268307692307019</v>
      </c>
      <c r="Y23" s="3"/>
      <c r="Z23" s="8">
        <f t="shared" si="7"/>
        <v>0.18115472137663344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2824.79</v>
      </c>
      <c r="E24" s="3"/>
      <c r="F24" s="8">
        <f t="shared" si="0"/>
        <v>0</v>
      </c>
      <c r="G24" s="3"/>
      <c r="H24" s="7">
        <v>1907.8769230769301</v>
      </c>
      <c r="I24" s="3"/>
      <c r="J24" s="8">
        <f t="shared" si="1"/>
        <v>0</v>
      </c>
      <c r="K24" s="3"/>
      <c r="L24" s="7">
        <f t="shared" si="2"/>
        <v>916.91307692306987</v>
      </c>
      <c r="M24" s="3"/>
      <c r="N24" s="8">
        <f t="shared" si="3"/>
        <v>0.48059341031512531</v>
      </c>
      <c r="O24" s="12"/>
      <c r="P24" s="7">
        <v>20994.880000000001</v>
      </c>
      <c r="Q24" s="3"/>
      <c r="R24" s="8">
        <f t="shared" si="4"/>
        <v>0</v>
      </c>
      <c r="S24" s="3"/>
      <c r="T24" s="7">
        <v>16789.316923077</v>
      </c>
      <c r="U24" s="3"/>
      <c r="V24" s="8">
        <f t="shared" si="5"/>
        <v>0</v>
      </c>
      <c r="W24" s="3"/>
      <c r="X24" s="7">
        <f t="shared" si="6"/>
        <v>4205.5630769230011</v>
      </c>
      <c r="Y24" s="3"/>
      <c r="Z24" s="8">
        <f t="shared" si="7"/>
        <v>0.25049042174803632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2369.5500000000002</v>
      </c>
      <c r="E26" s="3"/>
      <c r="F26" s="8">
        <f t="shared" si="0"/>
        <v>0</v>
      </c>
      <c r="G26" s="3"/>
      <c r="H26" s="7">
        <v>2060</v>
      </c>
      <c r="I26" s="3"/>
      <c r="J26" s="8">
        <f t="shared" si="1"/>
        <v>0</v>
      </c>
      <c r="K26" s="3"/>
      <c r="L26" s="7">
        <f t="shared" si="2"/>
        <v>309.55000000000018</v>
      </c>
      <c r="M26" s="3"/>
      <c r="N26" s="8">
        <f t="shared" si="3"/>
        <v>0.15026699029126223</v>
      </c>
      <c r="O26" s="12"/>
      <c r="P26" s="7">
        <v>18769.04</v>
      </c>
      <c r="Q26" s="3"/>
      <c r="R26" s="8">
        <f t="shared" si="4"/>
        <v>0</v>
      </c>
      <c r="S26" s="3"/>
      <c r="T26" s="7">
        <v>18128</v>
      </c>
      <c r="U26" s="3"/>
      <c r="V26" s="8">
        <f t="shared" si="5"/>
        <v>0</v>
      </c>
      <c r="W26" s="3"/>
      <c r="X26" s="7">
        <f t="shared" si="6"/>
        <v>641.04000000000087</v>
      </c>
      <c r="Y26" s="3"/>
      <c r="Z26" s="8">
        <f t="shared" si="7"/>
        <v>3.5361871138570214E-2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1238.8499999999999</v>
      </c>
      <c r="E27" s="3"/>
      <c r="F27" s="8">
        <f t="shared" si="0"/>
        <v>0</v>
      </c>
      <c r="G27" s="3"/>
      <c r="H27" s="7">
        <v>158.46153846153899</v>
      </c>
      <c r="I27" s="3"/>
      <c r="J27" s="8">
        <f t="shared" si="1"/>
        <v>0</v>
      </c>
      <c r="K27" s="3"/>
      <c r="L27" s="7">
        <f t="shared" si="2"/>
        <v>1080.3884615384609</v>
      </c>
      <c r="M27" s="3"/>
      <c r="N27" s="8">
        <f t="shared" si="3"/>
        <v>6.8179854368931769</v>
      </c>
      <c r="O27" s="12"/>
      <c r="P27" s="7">
        <v>14996.37</v>
      </c>
      <c r="Q27" s="3"/>
      <c r="R27" s="8">
        <f t="shared" si="4"/>
        <v>0</v>
      </c>
      <c r="S27" s="3"/>
      <c r="T27" s="7">
        <v>1394.4615384615399</v>
      </c>
      <c r="U27" s="3"/>
      <c r="V27" s="8">
        <f t="shared" si="5"/>
        <v>0</v>
      </c>
      <c r="W27" s="3"/>
      <c r="X27" s="7">
        <f t="shared" si="6"/>
        <v>13601.90846153846</v>
      </c>
      <c r="Y27" s="3"/>
      <c r="Z27" s="8">
        <f t="shared" si="7"/>
        <v>9.7542370917916923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398.71</v>
      </c>
      <c r="E28" s="3"/>
      <c r="F28" s="8">
        <f t="shared" si="0"/>
        <v>0</v>
      </c>
      <c r="G28" s="3"/>
      <c r="H28" s="7">
        <v>350</v>
      </c>
      <c r="I28" s="3"/>
      <c r="J28" s="8">
        <f t="shared" si="1"/>
        <v>0</v>
      </c>
      <c r="K28" s="3"/>
      <c r="L28" s="7">
        <f t="shared" si="2"/>
        <v>48.70999999999998</v>
      </c>
      <c r="M28" s="3"/>
      <c r="N28" s="8">
        <f t="shared" si="3"/>
        <v>0.1391714285714285</v>
      </c>
      <c r="O28" s="12"/>
      <c r="P28" s="7">
        <v>3173.84</v>
      </c>
      <c r="Q28" s="3"/>
      <c r="R28" s="8">
        <f t="shared" si="4"/>
        <v>0</v>
      </c>
      <c r="S28" s="3"/>
      <c r="T28" s="7">
        <v>3500</v>
      </c>
      <c r="U28" s="3"/>
      <c r="V28" s="8">
        <f t="shared" si="5"/>
        <v>0</v>
      </c>
      <c r="W28" s="3"/>
      <c r="X28" s="7">
        <f t="shared" si="6"/>
        <v>-326.15999999999985</v>
      </c>
      <c r="Y28" s="3"/>
      <c r="Z28" s="8">
        <f t="shared" si="7"/>
        <v>-9.3188571428571385E-2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19440.690000000002</v>
      </c>
      <c r="E29" s="2"/>
      <c r="F29" s="6">
        <f t="shared" si="0"/>
        <v>0</v>
      </c>
      <c r="G29" s="2"/>
      <c r="H29" s="2">
        <f>SUM(OSRRefH22_1x_0)</f>
        <v>19966.15384615384</v>
      </c>
      <c r="I29" s="2"/>
      <c r="J29" s="6">
        <f t="shared" si="1"/>
        <v>0</v>
      </c>
      <c r="K29" s="2"/>
      <c r="L29" s="2">
        <f t="shared" si="2"/>
        <v>-525.46384615383795</v>
      </c>
      <c r="M29" s="2"/>
      <c r="N29" s="6">
        <f t="shared" si="3"/>
        <v>-2.6317730004622807E-2</v>
      </c>
      <c r="O29" s="14"/>
      <c r="P29" s="2">
        <f>SUM(OSRRefP22_1x_0)</f>
        <v>178349.71000000002</v>
      </c>
      <c r="Q29" s="2"/>
      <c r="R29" s="6">
        <f t="shared" si="4"/>
        <v>0</v>
      </c>
      <c r="S29" s="2"/>
      <c r="T29" s="2">
        <f>SUM(OSRRefT22_1x_0)</f>
        <v>175702.15384615419</v>
      </c>
      <c r="U29" s="2"/>
      <c r="V29" s="6">
        <f t="shared" si="5"/>
        <v>0</v>
      </c>
      <c r="W29" s="2"/>
      <c r="X29" s="2">
        <f t="shared" si="6"/>
        <v>2647.5561538458278</v>
      </c>
      <c r="Y29" s="2"/>
      <c r="Z29" s="6">
        <f t="shared" si="7"/>
        <v>1.5068433117581718E-2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>
        <v>12087.68</v>
      </c>
      <c r="E30" s="3"/>
      <c r="F30" s="8">
        <f t="shared" si="0"/>
        <v>0</v>
      </c>
      <c r="G30" s="3"/>
      <c r="H30" s="7">
        <v>12835.384615384601</v>
      </c>
      <c r="I30" s="3"/>
      <c r="J30" s="8">
        <f t="shared" si="1"/>
        <v>0</v>
      </c>
      <c r="K30" s="3"/>
      <c r="L30" s="7">
        <f t="shared" si="2"/>
        <v>-747.7046153846004</v>
      </c>
      <c r="M30" s="3"/>
      <c r="N30" s="8">
        <f t="shared" si="3"/>
        <v>-5.8253386072155196E-2</v>
      </c>
      <c r="O30" s="12"/>
      <c r="P30" s="7">
        <v>112796.03</v>
      </c>
      <c r="Q30" s="3"/>
      <c r="R30" s="8">
        <f t="shared" si="4"/>
        <v>0</v>
      </c>
      <c r="S30" s="3"/>
      <c r="T30" s="7">
        <v>112951.384615385</v>
      </c>
      <c r="U30" s="3"/>
      <c r="V30" s="8">
        <f t="shared" si="5"/>
        <v>0</v>
      </c>
      <c r="W30" s="3"/>
      <c r="X30" s="7">
        <f t="shared" si="6"/>
        <v>-155.35461538500385</v>
      </c>
      <c r="Y30" s="3"/>
      <c r="Z30" s="8">
        <f t="shared" si="7"/>
        <v>-1.3754113410296624E-3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7353.01</v>
      </c>
      <c r="E31" s="3"/>
      <c r="F31" s="8">
        <f t="shared" si="0"/>
        <v>0</v>
      </c>
      <c r="G31" s="3"/>
      <c r="H31" s="7">
        <v>7130.7692307692396</v>
      </c>
      <c r="I31" s="3"/>
      <c r="J31" s="8">
        <f t="shared" si="1"/>
        <v>0</v>
      </c>
      <c r="K31" s="3"/>
      <c r="L31" s="7">
        <f t="shared" si="2"/>
        <v>222.24076923076063</v>
      </c>
      <c r="M31" s="3"/>
      <c r="N31" s="8">
        <f t="shared" si="3"/>
        <v>3.1166450916935109E-2</v>
      </c>
      <c r="O31" s="12"/>
      <c r="P31" s="7">
        <v>62546.44</v>
      </c>
      <c r="Q31" s="3"/>
      <c r="R31" s="8">
        <f t="shared" si="4"/>
        <v>0</v>
      </c>
      <c r="S31" s="3"/>
      <c r="T31" s="7">
        <v>62750.769230769198</v>
      </c>
      <c r="U31" s="3"/>
      <c r="V31" s="8">
        <f t="shared" si="5"/>
        <v>0</v>
      </c>
      <c r="W31" s="3"/>
      <c r="X31" s="7">
        <f t="shared" si="6"/>
        <v>-204.32923076919542</v>
      </c>
      <c r="Y31" s="3"/>
      <c r="Z31" s="8">
        <f t="shared" si="7"/>
        <v>-3.2562028047459324E-3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>
        <v>1380.76</v>
      </c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1380.76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>
        <v>1626.48</v>
      </c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1626.48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0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SUM(OSRRefD22_2x_0)</f>
        <v>177.96</v>
      </c>
      <c r="E40" s="2"/>
      <c r="F40" s="6">
        <f t="shared" si="0"/>
        <v>0</v>
      </c>
      <c r="G40" s="2"/>
      <c r="H40" s="2">
        <f>SUM(OSRRefH22_2x_0)</f>
        <v>839</v>
      </c>
      <c r="I40" s="2"/>
      <c r="J40" s="6">
        <f t="shared" si="1"/>
        <v>0</v>
      </c>
      <c r="K40" s="2"/>
      <c r="L40" s="2">
        <f t="shared" si="2"/>
        <v>-661.04</v>
      </c>
      <c r="M40" s="2"/>
      <c r="N40" s="6">
        <f t="shared" si="3"/>
        <v>-0.78789034564958282</v>
      </c>
      <c r="O40" s="14"/>
      <c r="P40" s="2">
        <f>SUM(OSRRefP22_2x_0)</f>
        <v>2118.23</v>
      </c>
      <c r="Q40" s="2"/>
      <c r="R40" s="6">
        <f t="shared" si="4"/>
        <v>0</v>
      </c>
      <c r="S40" s="2"/>
      <c r="T40" s="2">
        <f>SUM(OSRRefT22_2x_0)</f>
        <v>8390</v>
      </c>
      <c r="U40" s="2"/>
      <c r="V40" s="6">
        <f t="shared" si="5"/>
        <v>0</v>
      </c>
      <c r="W40" s="2"/>
      <c r="X40" s="2">
        <f t="shared" si="6"/>
        <v>-6271.77</v>
      </c>
      <c r="Y40" s="2"/>
      <c r="Z40" s="6">
        <f t="shared" si="7"/>
        <v>-0.74752920143027424</v>
      </c>
    </row>
    <row r="41" spans="1:26" s="70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7">
        <v>177.96</v>
      </c>
      <c r="E41" s="3"/>
      <c r="F41" s="8">
        <f t="shared" si="0"/>
        <v>0</v>
      </c>
      <c r="G41" s="3"/>
      <c r="H41" s="7">
        <v>839</v>
      </c>
      <c r="I41" s="3"/>
      <c r="J41" s="8">
        <f t="shared" si="1"/>
        <v>0</v>
      </c>
      <c r="K41" s="3"/>
      <c r="L41" s="7">
        <f t="shared" si="2"/>
        <v>-661.04</v>
      </c>
      <c r="M41" s="3"/>
      <c r="N41" s="8">
        <f t="shared" si="3"/>
        <v>-0.78789034564958282</v>
      </c>
      <c r="O41" s="12"/>
      <c r="P41" s="7">
        <v>2118.23</v>
      </c>
      <c r="Q41" s="3"/>
      <c r="R41" s="8">
        <f t="shared" si="4"/>
        <v>0</v>
      </c>
      <c r="S41" s="3"/>
      <c r="T41" s="7">
        <v>8390</v>
      </c>
      <c r="U41" s="3"/>
      <c r="V41" s="8">
        <f t="shared" si="5"/>
        <v>0</v>
      </c>
      <c r="W41" s="3"/>
      <c r="X41" s="7">
        <f t="shared" si="6"/>
        <v>-6271.77</v>
      </c>
      <c r="Y41" s="3"/>
      <c r="Z41" s="8">
        <f t="shared" si="7"/>
        <v>-0.74752920143027424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7280.08</v>
      </c>
      <c r="E42" s="2"/>
      <c r="F42" s="6">
        <f t="shared" si="0"/>
        <v>0</v>
      </c>
      <c r="G42" s="2"/>
      <c r="H42" s="2">
        <f>SUM(OSRRefH22_3x_0)</f>
        <v>4757</v>
      </c>
      <c r="I42" s="2"/>
      <c r="J42" s="6">
        <f t="shared" si="1"/>
        <v>0</v>
      </c>
      <c r="K42" s="2"/>
      <c r="L42" s="2">
        <f t="shared" si="2"/>
        <v>2523.08</v>
      </c>
      <c r="M42" s="2"/>
      <c r="N42" s="6">
        <f t="shared" si="3"/>
        <v>0.53039310489804492</v>
      </c>
      <c r="O42" s="14"/>
      <c r="P42" s="2">
        <f>SUM(OSRRefP22_3x_0)</f>
        <v>54689.05</v>
      </c>
      <c r="Q42" s="2"/>
      <c r="R42" s="6">
        <f t="shared" si="4"/>
        <v>0</v>
      </c>
      <c r="S42" s="2"/>
      <c r="T42" s="2">
        <f>SUM(OSRRefT22_3x_0)</f>
        <v>52170</v>
      </c>
      <c r="U42" s="2"/>
      <c r="V42" s="6">
        <f t="shared" si="5"/>
        <v>0</v>
      </c>
      <c r="W42" s="2"/>
      <c r="X42" s="2">
        <f t="shared" si="6"/>
        <v>2519.0500000000029</v>
      </c>
      <c r="Y42" s="2"/>
      <c r="Z42" s="6">
        <f t="shared" si="7"/>
        <v>4.8285413072647172E-2</v>
      </c>
    </row>
    <row r="43" spans="1:26" s="70" customFormat="1" ht="15" hidden="1" customHeight="1" outlineLevel="2" x14ac:dyDescent="0.3">
      <c r="A43" s="26"/>
      <c r="B43" s="12" t="str">
        <f>CONCATENATE("          ","6321"," - ","BUILDING DEPRECIATION")</f>
        <v xml:space="preserve">          6321 - BUILDING DEPRECIATION</v>
      </c>
      <c r="C43" s="12"/>
      <c r="D43" s="7">
        <v>1822.68</v>
      </c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1822.68</v>
      </c>
      <c r="M43" s="3"/>
      <c r="N43" s="8">
        <f t="shared" si="3"/>
        <v>0</v>
      </c>
      <c r="O43" s="12"/>
      <c r="P43" s="7">
        <v>18226.8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18226.8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","6322"," - ","EQUIPMENT DEPRECIATION EXPENSE")</f>
        <v xml:space="preserve">          6322 - EQUIPMENT DEPRECIATION EXPENSE</v>
      </c>
      <c r="C44" s="12"/>
      <c r="D44" s="7">
        <v>5457.4</v>
      </c>
      <c r="E44" s="3"/>
      <c r="F44" s="8">
        <f t="shared" si="0"/>
        <v>0</v>
      </c>
      <c r="G44" s="3"/>
      <c r="H44" s="7">
        <v>4757</v>
      </c>
      <c r="I44" s="3"/>
      <c r="J44" s="8">
        <f t="shared" si="1"/>
        <v>0</v>
      </c>
      <c r="K44" s="3"/>
      <c r="L44" s="7">
        <f t="shared" si="2"/>
        <v>700.39999999999964</v>
      </c>
      <c r="M44" s="3"/>
      <c r="N44" s="8">
        <f t="shared" si="3"/>
        <v>0.14723565272230391</v>
      </c>
      <c r="O44" s="12"/>
      <c r="P44" s="7">
        <v>36462.25</v>
      </c>
      <c r="Q44" s="3"/>
      <c r="R44" s="8">
        <f t="shared" si="4"/>
        <v>0</v>
      </c>
      <c r="S44" s="3"/>
      <c r="T44" s="7">
        <v>52170</v>
      </c>
      <c r="U44" s="3"/>
      <c r="V44" s="8">
        <f t="shared" si="5"/>
        <v>0</v>
      </c>
      <c r="W44" s="3"/>
      <c r="X44" s="7">
        <f t="shared" si="6"/>
        <v>-15707.75</v>
      </c>
      <c r="Y44" s="3"/>
      <c r="Z44" s="8">
        <f t="shared" si="7"/>
        <v>-0.30108778991757718</v>
      </c>
    </row>
    <row r="45" spans="1:26" s="69" customFormat="1" ht="15" customHeight="1" outlineLevel="1" collapsed="1" x14ac:dyDescent="0.3">
      <c r="A45" s="25"/>
      <c r="B45" s="14" t="str">
        <f>CONCATENATE("     ","Employees' Appreciation                           ")</f>
        <v xml:space="preserve">     Employees' Appreciation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SUM(OSRRefP22_4x_0)</f>
        <v>18</v>
      </c>
      <c r="Q45" s="2"/>
      <c r="R45" s="6">
        <f t="shared" si="4"/>
        <v>0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18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","6277"," - ","EMPLOYEE APPRECIATION")</f>
        <v xml:space="preserve">          6277 - EMPLOYEE APPRECIATION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18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18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","Equipment Rental                                  ")</f>
        <v xml:space="preserve">     Equipment Rental                                  </v>
      </c>
      <c r="C47" s="14"/>
      <c r="D47" s="2">
        <f>SUM(OSRRefD22_5x_0)</f>
        <v>91.26</v>
      </c>
      <c r="E47" s="2"/>
      <c r="F47" s="6">
        <f t="shared" si="0"/>
        <v>0</v>
      </c>
      <c r="G47" s="2"/>
      <c r="H47" s="2">
        <f>SUM(OSRRefH22_5x_0)</f>
        <v>300</v>
      </c>
      <c r="I47" s="2"/>
      <c r="J47" s="6">
        <f t="shared" si="1"/>
        <v>0</v>
      </c>
      <c r="K47" s="2"/>
      <c r="L47" s="2">
        <f t="shared" si="2"/>
        <v>-208.74</v>
      </c>
      <c r="M47" s="2"/>
      <c r="N47" s="6">
        <f t="shared" si="3"/>
        <v>-0.69580000000000009</v>
      </c>
      <c r="O47" s="14"/>
      <c r="P47" s="2">
        <f>SUM(OSRRefP22_5x_0)</f>
        <v>821.34</v>
      </c>
      <c r="Q47" s="2"/>
      <c r="R47" s="6">
        <f t="shared" si="4"/>
        <v>0</v>
      </c>
      <c r="S47" s="2"/>
      <c r="T47" s="2">
        <f>SUM(OSRRefT22_5x_0)</f>
        <v>3000</v>
      </c>
      <c r="U47" s="2"/>
      <c r="V47" s="6">
        <f t="shared" si="5"/>
        <v>0</v>
      </c>
      <c r="W47" s="2"/>
      <c r="X47" s="2">
        <f t="shared" si="6"/>
        <v>-2178.66</v>
      </c>
      <c r="Y47" s="2"/>
      <c r="Z47" s="6">
        <f t="shared" si="7"/>
        <v>-0.72621999999999998</v>
      </c>
    </row>
    <row r="48" spans="1:26" s="70" customFormat="1" ht="15" hidden="1" customHeight="1" outlineLevel="2" x14ac:dyDescent="0.3">
      <c r="A48" s="26"/>
      <c r="B48" s="12" t="str">
        <f>CONCATENATE("          ","6351"," - ","EQUIPMENT RENTAL")</f>
        <v xml:space="preserve">          6351 - EQUIPMENT RENTAL</v>
      </c>
      <c r="C48" s="12"/>
      <c r="D48" s="7">
        <v>91.26</v>
      </c>
      <c r="E48" s="3"/>
      <c r="F48" s="8">
        <f t="shared" si="0"/>
        <v>0</v>
      </c>
      <c r="G48" s="3"/>
      <c r="H48" s="7">
        <v>300</v>
      </c>
      <c r="I48" s="3"/>
      <c r="J48" s="8">
        <f t="shared" si="1"/>
        <v>0</v>
      </c>
      <c r="K48" s="3"/>
      <c r="L48" s="7">
        <f t="shared" si="2"/>
        <v>-208.74</v>
      </c>
      <c r="M48" s="3"/>
      <c r="N48" s="8">
        <f t="shared" si="3"/>
        <v>-0.69580000000000009</v>
      </c>
      <c r="O48" s="12"/>
      <c r="P48" s="7">
        <v>821.34</v>
      </c>
      <c r="Q48" s="3"/>
      <c r="R48" s="8">
        <f t="shared" si="4"/>
        <v>0</v>
      </c>
      <c r="S48" s="3"/>
      <c r="T48" s="7">
        <v>3000</v>
      </c>
      <c r="U48" s="3"/>
      <c r="V48" s="8">
        <f t="shared" si="5"/>
        <v>0</v>
      </c>
      <c r="W48" s="3"/>
      <c r="X48" s="7">
        <f t="shared" si="6"/>
        <v>-2178.66</v>
      </c>
      <c r="Y48" s="3"/>
      <c r="Z48" s="8">
        <f t="shared" si="7"/>
        <v>-0.72621999999999998</v>
      </c>
    </row>
    <row r="49" spans="1:26" s="69" customFormat="1" ht="15" customHeight="1" outlineLevel="1" collapsed="1" x14ac:dyDescent="0.3">
      <c r="A49" s="25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215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215</v>
      </c>
      <c r="M49" s="2"/>
      <c r="N49" s="6">
        <f t="shared" si="3"/>
        <v>0</v>
      </c>
      <c r="O49" s="14"/>
      <c r="P49" s="2">
        <f>SUM(OSRRefP22_6x_0)</f>
        <v>337.51</v>
      </c>
      <c r="Q49" s="2"/>
      <c r="R49" s="6">
        <f t="shared" si="4"/>
        <v>0</v>
      </c>
      <c r="S49" s="2"/>
      <c r="T49" s="2">
        <f>SUM(OSRRefT22_6x_0)</f>
        <v>1000</v>
      </c>
      <c r="U49" s="2"/>
      <c r="V49" s="6">
        <f t="shared" si="5"/>
        <v>0</v>
      </c>
      <c r="W49" s="2"/>
      <c r="X49" s="2">
        <f t="shared" si="6"/>
        <v>-662.49</v>
      </c>
      <c r="Y49" s="2"/>
      <c r="Z49" s="6">
        <f t="shared" si="7"/>
        <v>-0.66249000000000002</v>
      </c>
    </row>
    <row r="50" spans="1:26" s="70" customFormat="1" ht="15" hidden="1" customHeight="1" outlineLevel="2" x14ac:dyDescent="0.3">
      <c r="A50" s="26"/>
      <c r="B50" s="12" t="str">
        <f>CONCATENATE("          ","6279"," - ","GENERAL EXPENSE")</f>
        <v xml:space="preserve">          6279 - GENERAL EXPENSE</v>
      </c>
      <c r="C50" s="12"/>
      <c r="D50" s="7">
        <v>215</v>
      </c>
      <c r="E50" s="3"/>
      <c r="F50" s="8">
        <f t="shared" ref="F50:F75" si="8">IF(D$12=0,0,D50/D$12)</f>
        <v>0</v>
      </c>
      <c r="G50" s="3"/>
      <c r="H50" s="7"/>
      <c r="I50" s="3"/>
      <c r="J50" s="8">
        <f t="shared" ref="J50:J75" si="9">IF(H$12=0,0,H50/H$12)</f>
        <v>0</v>
      </c>
      <c r="K50" s="3"/>
      <c r="L50" s="7">
        <f t="shared" ref="L50:L75" si="10">+D50-H50</f>
        <v>215</v>
      </c>
      <c r="M50" s="3"/>
      <c r="N50" s="8">
        <f t="shared" ref="N50:N75" si="11">IF(H50=0,0,L50/H50)</f>
        <v>0</v>
      </c>
      <c r="O50" s="12"/>
      <c r="P50" s="7">
        <v>337.51</v>
      </c>
      <c r="Q50" s="3"/>
      <c r="R50" s="8">
        <f t="shared" ref="R50:R75" si="12">IF(P$12=0,0,P50/P$12)</f>
        <v>0</v>
      </c>
      <c r="S50" s="3"/>
      <c r="T50" s="7">
        <v>1000</v>
      </c>
      <c r="U50" s="3"/>
      <c r="V50" s="8">
        <f t="shared" ref="V50:V75" si="13">IF(T$12=0,0,T50/T$12)</f>
        <v>0</v>
      </c>
      <c r="W50" s="3"/>
      <c r="X50" s="7">
        <f t="shared" ref="X50:X75" si="14">+P50-T50</f>
        <v>-662.49</v>
      </c>
      <c r="Y50" s="3"/>
      <c r="Z50" s="8">
        <f t="shared" ref="Z50:Z75" si="15">IF(T50=0,0,X50/T50)</f>
        <v>-0.66249000000000002</v>
      </c>
    </row>
    <row r="51" spans="1:26" s="69" customFormat="1" ht="15" customHeight="1" outlineLevel="1" collapsed="1" x14ac:dyDescent="0.3">
      <c r="A51" s="25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4884.6000000000004</v>
      </c>
      <c r="E51" s="2"/>
      <c r="F51" s="6">
        <f t="shared" si="8"/>
        <v>0</v>
      </c>
      <c r="G51" s="2"/>
      <c r="H51" s="2">
        <f>SUM(OSRRefH22_7x_0)</f>
        <v>4820</v>
      </c>
      <c r="I51" s="2"/>
      <c r="J51" s="6">
        <f t="shared" si="9"/>
        <v>0</v>
      </c>
      <c r="K51" s="2"/>
      <c r="L51" s="2">
        <f t="shared" si="10"/>
        <v>64.600000000000364</v>
      </c>
      <c r="M51" s="2"/>
      <c r="N51" s="6">
        <f t="shared" si="11"/>
        <v>1.3402489626556092E-2</v>
      </c>
      <c r="O51" s="14"/>
      <c r="P51" s="2">
        <f>SUM(OSRRefP22_7x_0)</f>
        <v>55729</v>
      </c>
      <c r="Q51" s="2"/>
      <c r="R51" s="6">
        <f t="shared" si="12"/>
        <v>0</v>
      </c>
      <c r="S51" s="2"/>
      <c r="T51" s="2">
        <f>SUM(OSRRefT22_7x_0)</f>
        <v>48200</v>
      </c>
      <c r="U51" s="2"/>
      <c r="V51" s="6">
        <f t="shared" si="13"/>
        <v>0</v>
      </c>
      <c r="W51" s="2"/>
      <c r="X51" s="2">
        <f t="shared" si="14"/>
        <v>7529</v>
      </c>
      <c r="Y51" s="2"/>
      <c r="Z51" s="6">
        <f t="shared" si="15"/>
        <v>0.15620331950207469</v>
      </c>
    </row>
    <row r="52" spans="1:26" s="70" customFormat="1" ht="15" hidden="1" customHeight="1" outlineLevel="2" x14ac:dyDescent="0.3">
      <c r="A52" s="26"/>
      <c r="B52" s="12" t="str">
        <f>CONCATENATE("          ","6314"," - ","LIABILITY INSURANCE")</f>
        <v xml:space="preserve">          6314 - LIABILITY INSURANCE</v>
      </c>
      <c r="C52" s="12"/>
      <c r="D52" s="7">
        <v>4884.6000000000004</v>
      </c>
      <c r="E52" s="3"/>
      <c r="F52" s="8">
        <f t="shared" si="8"/>
        <v>0</v>
      </c>
      <c r="G52" s="3"/>
      <c r="H52" s="7">
        <v>4820</v>
      </c>
      <c r="I52" s="3"/>
      <c r="J52" s="8">
        <f t="shared" si="9"/>
        <v>0</v>
      </c>
      <c r="K52" s="3"/>
      <c r="L52" s="7">
        <f t="shared" si="10"/>
        <v>64.600000000000364</v>
      </c>
      <c r="M52" s="3"/>
      <c r="N52" s="8">
        <f t="shared" si="11"/>
        <v>1.3402489626556092E-2</v>
      </c>
      <c r="O52" s="12"/>
      <c r="P52" s="7">
        <v>55729</v>
      </c>
      <c r="Q52" s="3"/>
      <c r="R52" s="8">
        <f t="shared" si="12"/>
        <v>0</v>
      </c>
      <c r="S52" s="3"/>
      <c r="T52" s="7">
        <v>48200</v>
      </c>
      <c r="U52" s="3"/>
      <c r="V52" s="8">
        <f t="shared" si="13"/>
        <v>0</v>
      </c>
      <c r="W52" s="3"/>
      <c r="X52" s="7">
        <f t="shared" si="14"/>
        <v>7529</v>
      </c>
      <c r="Y52" s="3"/>
      <c r="Z52" s="8">
        <f t="shared" si="15"/>
        <v>0.15620331950207469</v>
      </c>
    </row>
    <row r="53" spans="1:26" s="69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SUM(OSRRefD22_8x_0)</f>
        <v>10146.61</v>
      </c>
      <c r="E53" s="2"/>
      <c r="F53" s="6">
        <f t="shared" si="8"/>
        <v>0</v>
      </c>
      <c r="G53" s="2"/>
      <c r="H53" s="2">
        <f>SUM(OSRRefH22_8x_0)</f>
        <v>0</v>
      </c>
      <c r="I53" s="2"/>
      <c r="J53" s="6">
        <f t="shared" si="9"/>
        <v>0</v>
      </c>
      <c r="K53" s="2"/>
      <c r="L53" s="2">
        <f t="shared" si="10"/>
        <v>10146.61</v>
      </c>
      <c r="M53" s="2"/>
      <c r="N53" s="6">
        <f t="shared" si="11"/>
        <v>0</v>
      </c>
      <c r="O53" s="14"/>
      <c r="P53" s="2">
        <f>SUM(OSRRefP22_8x_0)</f>
        <v>35318</v>
      </c>
      <c r="Q53" s="2"/>
      <c r="R53" s="6">
        <f t="shared" si="12"/>
        <v>0</v>
      </c>
      <c r="S53" s="2"/>
      <c r="T53" s="2">
        <f>SUM(OSRRefT22_8x_0)</f>
        <v>8000</v>
      </c>
      <c r="U53" s="2"/>
      <c r="V53" s="6">
        <f t="shared" si="13"/>
        <v>0</v>
      </c>
      <c r="W53" s="2"/>
      <c r="X53" s="2">
        <f t="shared" si="14"/>
        <v>27318</v>
      </c>
      <c r="Y53" s="2"/>
      <c r="Z53" s="6">
        <f t="shared" si="15"/>
        <v>3.4147500000000002</v>
      </c>
    </row>
    <row r="54" spans="1:26" s="70" customFormat="1" ht="15" hidden="1" customHeight="1" outlineLevel="2" x14ac:dyDescent="0.3">
      <c r="A54" s="26"/>
      <c r="B54" s="12" t="str">
        <f>CONCATENATE("          ","6371"," - ","COMPUTER SOFTWARE MAINTENANCE")</f>
        <v xml:space="preserve">          6371 - COMPUTER SOFTWARE MAINTENANCE</v>
      </c>
      <c r="C54" s="12"/>
      <c r="D54" s="7">
        <v>8966.19</v>
      </c>
      <c r="E54" s="3"/>
      <c r="F54" s="8">
        <f t="shared" si="8"/>
        <v>0</v>
      </c>
      <c r="G54" s="3"/>
      <c r="H54" s="7"/>
      <c r="I54" s="3"/>
      <c r="J54" s="8">
        <f t="shared" si="9"/>
        <v>0</v>
      </c>
      <c r="K54" s="3"/>
      <c r="L54" s="7">
        <f t="shared" si="10"/>
        <v>8966.19</v>
      </c>
      <c r="M54" s="3"/>
      <c r="N54" s="8">
        <f t="shared" si="11"/>
        <v>0</v>
      </c>
      <c r="O54" s="12"/>
      <c r="P54" s="7">
        <v>16567.060000000001</v>
      </c>
      <c r="Q54" s="3"/>
      <c r="R54" s="8">
        <f t="shared" si="12"/>
        <v>0</v>
      </c>
      <c r="S54" s="3"/>
      <c r="T54" s="7"/>
      <c r="U54" s="3"/>
      <c r="V54" s="8">
        <f t="shared" si="13"/>
        <v>0</v>
      </c>
      <c r="W54" s="3"/>
      <c r="X54" s="7">
        <f t="shared" si="14"/>
        <v>16567.060000000001</v>
      </c>
      <c r="Y54" s="3"/>
      <c r="Z54" s="8">
        <f t="shared" si="15"/>
        <v>0</v>
      </c>
    </row>
    <row r="55" spans="1:26" s="70" customFormat="1" ht="15" hidden="1" customHeight="1" outlineLevel="2" x14ac:dyDescent="0.3">
      <c r="A55" s="26"/>
      <c r="B55" s="12" t="str">
        <f>CONCATENATE("          ","6372"," - ","COMPUTER HARDWARE MAINTENANCE")</f>
        <v xml:space="preserve">          6372 - COMPUTER HARDWARE MAINTENANCE</v>
      </c>
      <c r="C55" s="12"/>
      <c r="D55" s="7"/>
      <c r="E55" s="3"/>
      <c r="F55" s="8">
        <f t="shared" si="8"/>
        <v>0</v>
      </c>
      <c r="G55" s="3"/>
      <c r="H55" s="7"/>
      <c r="I55" s="3"/>
      <c r="J55" s="8">
        <f t="shared" si="9"/>
        <v>0</v>
      </c>
      <c r="K55" s="3"/>
      <c r="L55" s="7">
        <f t="shared" si="10"/>
        <v>0</v>
      </c>
      <c r="M55" s="3"/>
      <c r="N55" s="8">
        <f t="shared" si="11"/>
        <v>0</v>
      </c>
      <c r="O55" s="12"/>
      <c r="P55" s="7"/>
      <c r="Q55" s="3"/>
      <c r="R55" s="8">
        <f t="shared" si="12"/>
        <v>0</v>
      </c>
      <c r="S55" s="3"/>
      <c r="T55" s="7">
        <v>8000</v>
      </c>
      <c r="U55" s="3"/>
      <c r="V55" s="8">
        <f t="shared" si="13"/>
        <v>0</v>
      </c>
      <c r="W55" s="3"/>
      <c r="X55" s="7">
        <f t="shared" si="14"/>
        <v>-8000</v>
      </c>
      <c r="Y55" s="3"/>
      <c r="Z55" s="8">
        <f t="shared" si="15"/>
        <v>-1</v>
      </c>
    </row>
    <row r="56" spans="1:26" s="70" customFormat="1" ht="15" hidden="1" customHeight="1" outlineLevel="2" x14ac:dyDescent="0.3">
      <c r="A56" s="26"/>
      <c r="B56" s="12" t="str">
        <f>CONCATENATE("          ","6373"," - ","MAINTENANCE CONTRACTS")</f>
        <v xml:space="preserve">          6373 - MAINTENANCE CONTRACTS</v>
      </c>
      <c r="C56" s="12"/>
      <c r="D56" s="7">
        <v>0.73</v>
      </c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0.73</v>
      </c>
      <c r="M56" s="3"/>
      <c r="N56" s="8">
        <f t="shared" si="11"/>
        <v>0</v>
      </c>
      <c r="O56" s="12"/>
      <c r="P56" s="7">
        <v>7717</v>
      </c>
      <c r="Q56" s="3"/>
      <c r="R56" s="8">
        <f t="shared" si="12"/>
        <v>0</v>
      </c>
      <c r="S56" s="3"/>
      <c r="T56" s="7"/>
      <c r="U56" s="3"/>
      <c r="V56" s="8">
        <f t="shared" si="13"/>
        <v>0</v>
      </c>
      <c r="W56" s="3"/>
      <c r="X56" s="7">
        <f t="shared" si="14"/>
        <v>7717</v>
      </c>
      <c r="Y56" s="3"/>
      <c r="Z56" s="8">
        <f t="shared" si="15"/>
        <v>0</v>
      </c>
    </row>
    <row r="57" spans="1:26" s="70" customFormat="1" ht="15" hidden="1" customHeight="1" outlineLevel="2" x14ac:dyDescent="0.3">
      <c r="A57" s="26"/>
      <c r="B57" s="12" t="str">
        <f>CONCATENATE("          ","6375"," - ","OUTSIDE REPAIRS &amp; MAINTENANCE")</f>
        <v xml:space="preserve">          6375 - OUTSIDE REPAIRS &amp; MAINTENANCE</v>
      </c>
      <c r="C57" s="12"/>
      <c r="D57" s="7">
        <v>1179.69</v>
      </c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1179.69</v>
      </c>
      <c r="M57" s="3"/>
      <c r="N57" s="8">
        <f t="shared" si="11"/>
        <v>0</v>
      </c>
      <c r="O57" s="12"/>
      <c r="P57" s="7">
        <v>11033.94</v>
      </c>
      <c r="Q57" s="3"/>
      <c r="R57" s="8">
        <f t="shared" si="12"/>
        <v>0</v>
      </c>
      <c r="S57" s="3"/>
      <c r="T57" s="7"/>
      <c r="U57" s="3"/>
      <c r="V57" s="8">
        <f t="shared" si="13"/>
        <v>0</v>
      </c>
      <c r="W57" s="3"/>
      <c r="X57" s="7">
        <f t="shared" si="14"/>
        <v>11033.94</v>
      </c>
      <c r="Y57" s="3"/>
      <c r="Z57" s="8">
        <f t="shared" si="15"/>
        <v>0</v>
      </c>
    </row>
    <row r="58" spans="1:26" s="69" customFormat="1" ht="15" customHeight="1" outlineLevel="1" collapsed="1" x14ac:dyDescent="0.3">
      <c r="A58" s="25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670.1</v>
      </c>
      <c r="E58" s="2"/>
      <c r="F58" s="6">
        <f t="shared" si="8"/>
        <v>0</v>
      </c>
      <c r="G58" s="2"/>
      <c r="H58" s="2">
        <f>SUM(OSRRefH22_9x_0)</f>
        <v>1525</v>
      </c>
      <c r="I58" s="2"/>
      <c r="J58" s="6">
        <f t="shared" si="9"/>
        <v>0</v>
      </c>
      <c r="K58" s="2"/>
      <c r="L58" s="2">
        <f t="shared" si="10"/>
        <v>-854.9</v>
      </c>
      <c r="M58" s="2"/>
      <c r="N58" s="6">
        <f t="shared" si="11"/>
        <v>-0.56059016393442618</v>
      </c>
      <c r="O58" s="14"/>
      <c r="P58" s="2">
        <f>SUM(OSRRefP22_9x_0)</f>
        <v>10375.32</v>
      </c>
      <c r="Q58" s="2"/>
      <c r="R58" s="6">
        <f t="shared" si="12"/>
        <v>0</v>
      </c>
      <c r="S58" s="2"/>
      <c r="T58" s="2">
        <f>SUM(OSRRefT22_9x_0)</f>
        <v>8250</v>
      </c>
      <c r="U58" s="2"/>
      <c r="V58" s="6">
        <f t="shared" si="13"/>
        <v>0</v>
      </c>
      <c r="W58" s="2"/>
      <c r="X58" s="2">
        <f t="shared" si="14"/>
        <v>2125.3199999999997</v>
      </c>
      <c r="Y58" s="2"/>
      <c r="Z58" s="6">
        <f t="shared" si="15"/>
        <v>0.25761454545454543</v>
      </c>
    </row>
    <row r="59" spans="1:26" s="70" customFormat="1" ht="15" hidden="1" customHeight="1" outlineLevel="2" x14ac:dyDescent="0.3">
      <c r="A59" s="26"/>
      <c r="B59" s="12" t="str">
        <f>CONCATENATE("          ","6282"," - ","JANITORIAL/EXTERMINATOR EXPENS")</f>
        <v xml:space="preserve">          6282 - JANITORIAL/EXTERMINATOR EXPENS</v>
      </c>
      <c r="C59" s="12"/>
      <c r="D59" s="7">
        <v>670.1</v>
      </c>
      <c r="E59" s="3"/>
      <c r="F59" s="8">
        <f t="shared" si="8"/>
        <v>0</v>
      </c>
      <c r="G59" s="3"/>
      <c r="H59" s="7">
        <v>650</v>
      </c>
      <c r="I59" s="3"/>
      <c r="J59" s="8">
        <f t="shared" si="9"/>
        <v>0</v>
      </c>
      <c r="K59" s="3"/>
      <c r="L59" s="7">
        <f t="shared" si="10"/>
        <v>20.100000000000023</v>
      </c>
      <c r="M59" s="3"/>
      <c r="N59" s="8">
        <f t="shared" si="11"/>
        <v>3.0923076923076959E-2</v>
      </c>
      <c r="O59" s="12"/>
      <c r="P59" s="7">
        <v>6701</v>
      </c>
      <c r="Q59" s="3"/>
      <c r="R59" s="8">
        <f t="shared" si="12"/>
        <v>0</v>
      </c>
      <c r="S59" s="3"/>
      <c r="T59" s="7">
        <v>6500</v>
      </c>
      <c r="U59" s="3"/>
      <c r="V59" s="8">
        <f t="shared" si="13"/>
        <v>0</v>
      </c>
      <c r="W59" s="3"/>
      <c r="X59" s="7">
        <f t="shared" si="14"/>
        <v>201</v>
      </c>
      <c r="Y59" s="3"/>
      <c r="Z59" s="8">
        <f t="shared" si="15"/>
        <v>3.0923076923076925E-2</v>
      </c>
    </row>
    <row r="60" spans="1:26" s="70" customFormat="1" ht="15" hidden="1" customHeight="1" outlineLevel="2" x14ac:dyDescent="0.3">
      <c r="A60" s="26"/>
      <c r="B60" s="12" t="str">
        <f>CONCATENATE("          ","6284"," - ","TRASH REMOVAL EXPENSE")</f>
        <v xml:space="preserve">          6284 - TRASH REMOVAL EXPENSE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/>
      <c r="Q60" s="3"/>
      <c r="R60" s="8">
        <f t="shared" si="12"/>
        <v>0</v>
      </c>
      <c r="S60" s="3"/>
      <c r="T60" s="7">
        <v>0</v>
      </c>
      <c r="U60" s="3"/>
      <c r="V60" s="8">
        <f t="shared" si="13"/>
        <v>0</v>
      </c>
      <c r="W60" s="3"/>
      <c r="X60" s="7">
        <f t="shared" si="14"/>
        <v>0</v>
      </c>
      <c r="Y60" s="3"/>
      <c r="Z60" s="8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","6285"," - ","JANITORIAL SERVICES")</f>
        <v xml:space="preserve">          6285 - JANITORIAL SERVICES</v>
      </c>
      <c r="C61" s="12"/>
      <c r="D61" s="7"/>
      <c r="E61" s="3"/>
      <c r="F61" s="8">
        <f t="shared" si="8"/>
        <v>0</v>
      </c>
      <c r="G61" s="3"/>
      <c r="H61" s="7">
        <v>875</v>
      </c>
      <c r="I61" s="3"/>
      <c r="J61" s="8">
        <f t="shared" si="9"/>
        <v>0</v>
      </c>
      <c r="K61" s="3"/>
      <c r="L61" s="7">
        <f t="shared" si="10"/>
        <v>-875</v>
      </c>
      <c r="M61" s="3"/>
      <c r="N61" s="8">
        <f t="shared" si="11"/>
        <v>-1</v>
      </c>
      <c r="O61" s="12"/>
      <c r="P61" s="7">
        <v>3674.32</v>
      </c>
      <c r="Q61" s="3"/>
      <c r="R61" s="8">
        <f t="shared" si="12"/>
        <v>0</v>
      </c>
      <c r="S61" s="3"/>
      <c r="T61" s="7">
        <v>1750</v>
      </c>
      <c r="U61" s="3"/>
      <c r="V61" s="8">
        <f t="shared" si="13"/>
        <v>0</v>
      </c>
      <c r="W61" s="3"/>
      <c r="X61" s="7">
        <f t="shared" si="14"/>
        <v>1924.3200000000002</v>
      </c>
      <c r="Y61" s="3"/>
      <c r="Z61" s="8">
        <f t="shared" si="15"/>
        <v>1.0996114285714287</v>
      </c>
    </row>
    <row r="62" spans="1:26" s="69" customFormat="1" ht="15" customHeight="1" outlineLevel="1" collapsed="1" x14ac:dyDescent="0.3">
      <c r="A62" s="25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SUM(OSRRefD22_10x_0)</f>
        <v>0</v>
      </c>
      <c r="E62" s="2"/>
      <c r="F62" s="6">
        <f t="shared" si="8"/>
        <v>0</v>
      </c>
      <c r="G62" s="2"/>
      <c r="H62" s="2">
        <f>SUM(OSRRefH22_10x_0)</f>
        <v>0</v>
      </c>
      <c r="I62" s="2"/>
      <c r="J62" s="6">
        <f t="shared" si="9"/>
        <v>0</v>
      </c>
      <c r="K62" s="2"/>
      <c r="L62" s="2">
        <f t="shared" si="10"/>
        <v>0</v>
      </c>
      <c r="M62" s="2"/>
      <c r="N62" s="6">
        <f t="shared" si="11"/>
        <v>0</v>
      </c>
      <c r="O62" s="14"/>
      <c r="P62" s="2">
        <f>SUM(OSRRefP22_10x_0)</f>
        <v>119.2</v>
      </c>
      <c r="Q62" s="2"/>
      <c r="R62" s="6">
        <f t="shared" si="12"/>
        <v>0</v>
      </c>
      <c r="S62" s="2"/>
      <c r="T62" s="2">
        <f>SUM(OSRRefT22_10x_0)</f>
        <v>0</v>
      </c>
      <c r="U62" s="2"/>
      <c r="V62" s="6">
        <f t="shared" si="13"/>
        <v>0</v>
      </c>
      <c r="W62" s="2"/>
      <c r="X62" s="2">
        <f t="shared" si="14"/>
        <v>119.2</v>
      </c>
      <c r="Y62" s="2"/>
      <c r="Z62" s="6">
        <f t="shared" si="15"/>
        <v>0</v>
      </c>
    </row>
    <row r="63" spans="1:26" s="70" customFormat="1" ht="15" hidden="1" customHeight="1" outlineLevel="2" x14ac:dyDescent="0.3">
      <c r="A63" s="26"/>
      <c r="B63" s="12" t="str">
        <f>CONCATENATE("          ","6275"," - ","SUBSCRIPTIONS")</f>
        <v xml:space="preserve">          6275 - SUBSCRIPTIONS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>
        <v>119.2</v>
      </c>
      <c r="Q63" s="3"/>
      <c r="R63" s="8">
        <f t="shared" si="12"/>
        <v>0</v>
      </c>
      <c r="S63" s="3"/>
      <c r="T63" s="7"/>
      <c r="U63" s="3"/>
      <c r="V63" s="8">
        <f t="shared" si="13"/>
        <v>0</v>
      </c>
      <c r="W63" s="3"/>
      <c r="X63" s="7">
        <f t="shared" si="14"/>
        <v>119.2</v>
      </c>
      <c r="Y63" s="3"/>
      <c r="Z63" s="8">
        <f t="shared" si="15"/>
        <v>0</v>
      </c>
    </row>
    <row r="64" spans="1:26" s="69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SUM(OSRRefD22_11x_0)</f>
        <v>8.82</v>
      </c>
      <c r="E64" s="2"/>
      <c r="F64" s="6">
        <f t="shared" si="8"/>
        <v>0</v>
      </c>
      <c r="G64" s="2"/>
      <c r="H64" s="2">
        <f>SUM(OSRRefH22_11x_0)</f>
        <v>0</v>
      </c>
      <c r="I64" s="2"/>
      <c r="J64" s="6">
        <f t="shared" si="9"/>
        <v>0</v>
      </c>
      <c r="K64" s="2"/>
      <c r="L64" s="2">
        <f t="shared" si="10"/>
        <v>8.82</v>
      </c>
      <c r="M64" s="2"/>
      <c r="N64" s="6">
        <f t="shared" si="11"/>
        <v>0</v>
      </c>
      <c r="O64" s="14"/>
      <c r="P64" s="2">
        <f>SUM(OSRRefP22_11x_0)</f>
        <v>535.64</v>
      </c>
      <c r="Q64" s="2"/>
      <c r="R64" s="6">
        <f t="shared" si="12"/>
        <v>0</v>
      </c>
      <c r="S64" s="2"/>
      <c r="T64" s="2">
        <f>SUM(OSRRefT22_11x_0)</f>
        <v>0</v>
      </c>
      <c r="U64" s="2"/>
      <c r="V64" s="6">
        <f t="shared" si="13"/>
        <v>0</v>
      </c>
      <c r="W64" s="2"/>
      <c r="X64" s="2">
        <f t="shared" si="14"/>
        <v>535.64</v>
      </c>
      <c r="Y64" s="2"/>
      <c r="Z64" s="6">
        <f t="shared" si="15"/>
        <v>0</v>
      </c>
    </row>
    <row r="65" spans="1:26" s="70" customFormat="1" ht="15" hidden="1" customHeight="1" outlineLevel="2" x14ac:dyDescent="0.3">
      <c r="A65" s="26"/>
      <c r="B65" s="12" t="str">
        <f>CONCATENATE("          ","6235"," - ","COVID-19 EXPENSES")</f>
        <v xml:space="preserve">          6235 - COVID-19 EXPENSES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318.42</v>
      </c>
      <c r="Q65" s="3"/>
      <c r="R65" s="8">
        <f t="shared" si="12"/>
        <v>0</v>
      </c>
      <c r="S65" s="3"/>
      <c r="T65" s="7"/>
      <c r="U65" s="3"/>
      <c r="V65" s="8">
        <f t="shared" si="13"/>
        <v>0</v>
      </c>
      <c r="W65" s="3"/>
      <c r="X65" s="7">
        <f t="shared" si="14"/>
        <v>318.42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","6241"," - ","OFFICE EXPENSE")</f>
        <v xml:space="preserve">          6241 - OFFICE EXPENSE</v>
      </c>
      <c r="C66" s="12"/>
      <c r="D66" s="7">
        <v>8.82</v>
      </c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8.82</v>
      </c>
      <c r="M66" s="3"/>
      <c r="N66" s="8">
        <f t="shared" si="11"/>
        <v>0</v>
      </c>
      <c r="O66" s="12"/>
      <c r="P66" s="7">
        <v>217.22</v>
      </c>
      <c r="Q66" s="3"/>
      <c r="R66" s="8">
        <f t="shared" si="12"/>
        <v>0</v>
      </c>
      <c r="S66" s="3"/>
      <c r="T66" s="7"/>
      <c r="U66" s="3"/>
      <c r="V66" s="8">
        <f t="shared" si="13"/>
        <v>0</v>
      </c>
      <c r="W66" s="3"/>
      <c r="X66" s="7">
        <f t="shared" si="14"/>
        <v>217.22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340.2</v>
      </c>
      <c r="E67" s="2"/>
      <c r="F67" s="6">
        <f t="shared" si="8"/>
        <v>0</v>
      </c>
      <c r="G67" s="2"/>
      <c r="H67" s="2">
        <f>SUM(OSRRefH22_12x_0)</f>
        <v>0</v>
      </c>
      <c r="I67" s="2"/>
      <c r="J67" s="6">
        <f t="shared" si="9"/>
        <v>0</v>
      </c>
      <c r="K67" s="2"/>
      <c r="L67" s="2">
        <f t="shared" si="10"/>
        <v>340.2</v>
      </c>
      <c r="M67" s="2"/>
      <c r="N67" s="6">
        <f t="shared" si="11"/>
        <v>0</v>
      </c>
      <c r="O67" s="14"/>
      <c r="P67" s="2">
        <f>SUM(OSRRefP22_12x_0)</f>
        <v>2066.41</v>
      </c>
      <c r="Q67" s="2"/>
      <c r="R67" s="6">
        <f t="shared" si="12"/>
        <v>0</v>
      </c>
      <c r="S67" s="2"/>
      <c r="T67" s="2">
        <f>SUM(OSRRefT22_12x_0)</f>
        <v>0</v>
      </c>
      <c r="U67" s="2"/>
      <c r="V67" s="6">
        <f t="shared" si="13"/>
        <v>0</v>
      </c>
      <c r="W67" s="2"/>
      <c r="X67" s="2">
        <f t="shared" si="14"/>
        <v>2066.41</v>
      </c>
      <c r="Y67" s="2"/>
      <c r="Z67" s="6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7">
        <v>340.2</v>
      </c>
      <c r="E68" s="3"/>
      <c r="F68" s="8">
        <f t="shared" si="8"/>
        <v>0</v>
      </c>
      <c r="G68" s="3"/>
      <c r="H68" s="7"/>
      <c r="I68" s="3"/>
      <c r="J68" s="8">
        <f t="shared" si="9"/>
        <v>0</v>
      </c>
      <c r="K68" s="3"/>
      <c r="L68" s="7">
        <f t="shared" si="10"/>
        <v>340.2</v>
      </c>
      <c r="M68" s="3"/>
      <c r="N68" s="8">
        <f t="shared" si="11"/>
        <v>0</v>
      </c>
      <c r="O68" s="12"/>
      <c r="P68" s="7">
        <v>2066.41</v>
      </c>
      <c r="Q68" s="3"/>
      <c r="R68" s="8">
        <f t="shared" si="12"/>
        <v>0</v>
      </c>
      <c r="S68" s="3"/>
      <c r="T68" s="7"/>
      <c r="U68" s="3"/>
      <c r="V68" s="8">
        <f t="shared" si="13"/>
        <v>0</v>
      </c>
      <c r="W68" s="3"/>
      <c r="X68" s="7">
        <f t="shared" si="14"/>
        <v>2066.41</v>
      </c>
      <c r="Y68" s="3"/>
      <c r="Z68" s="8">
        <f t="shared" si="15"/>
        <v>0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0</v>
      </c>
      <c r="M69" s="2"/>
      <c r="N69" s="6">
        <f t="shared" si="11"/>
        <v>0</v>
      </c>
      <c r="O69" s="14"/>
      <c r="P69" s="2">
        <f>SUM(OSRRefP22_13x_0)</f>
        <v>0</v>
      </c>
      <c r="Q69" s="2"/>
      <c r="R69" s="6">
        <f t="shared" si="12"/>
        <v>0</v>
      </c>
      <c r="S69" s="2"/>
      <c r="T69" s="2">
        <f>SUM(OSRRefT22_13x_0)</f>
        <v>3600</v>
      </c>
      <c r="U69" s="2"/>
      <c r="V69" s="6">
        <f t="shared" si="13"/>
        <v>0</v>
      </c>
      <c r="W69" s="2"/>
      <c r="X69" s="2">
        <f t="shared" si="14"/>
        <v>-3600</v>
      </c>
      <c r="Y69" s="2"/>
      <c r="Z69" s="6">
        <f t="shared" si="15"/>
        <v>-1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/>
      <c r="Q70" s="3"/>
      <c r="R70" s="8">
        <f t="shared" si="12"/>
        <v>0</v>
      </c>
      <c r="S70" s="3"/>
      <c r="T70" s="7">
        <v>3600</v>
      </c>
      <c r="U70" s="3"/>
      <c r="V70" s="8">
        <f t="shared" si="13"/>
        <v>0</v>
      </c>
      <c r="W70" s="3"/>
      <c r="X70" s="7">
        <f t="shared" si="14"/>
        <v>-3600</v>
      </c>
      <c r="Y70" s="3"/>
      <c r="Z70" s="8">
        <f t="shared" si="15"/>
        <v>-1</v>
      </c>
    </row>
    <row r="71" spans="1:26" s="69" customFormat="1" ht="15" customHeight="1" outlineLevel="1" collapsed="1" x14ac:dyDescent="0.3">
      <c r="A71" s="25"/>
      <c r="B71" s="14" t="str">
        <f>CONCATENATE("     ","Travel                                            ")</f>
        <v xml:space="preserve">     Travel                                            </v>
      </c>
      <c r="C71" s="14"/>
      <c r="D71" s="2">
        <f>SUM(OSRRefD22_14x_0)</f>
        <v>0</v>
      </c>
      <c r="E71" s="2"/>
      <c r="F71" s="6">
        <f t="shared" si="8"/>
        <v>0</v>
      </c>
      <c r="G71" s="2"/>
      <c r="H71" s="2">
        <f>SUM(OSRRefH22_14x_0)</f>
        <v>0</v>
      </c>
      <c r="I71" s="2"/>
      <c r="J71" s="6">
        <f t="shared" si="9"/>
        <v>0</v>
      </c>
      <c r="K71" s="2"/>
      <c r="L71" s="2">
        <f t="shared" si="10"/>
        <v>0</v>
      </c>
      <c r="M71" s="2"/>
      <c r="N71" s="6">
        <f t="shared" si="11"/>
        <v>0</v>
      </c>
      <c r="O71" s="14"/>
      <c r="P71" s="2">
        <f>SUM(OSRRefP22_14x_0)</f>
        <v>141.24</v>
      </c>
      <c r="Q71" s="2"/>
      <c r="R71" s="6">
        <f t="shared" si="12"/>
        <v>0</v>
      </c>
      <c r="S71" s="2"/>
      <c r="T71" s="2">
        <f>SUM(OSRRefT22_14x_0)</f>
        <v>0</v>
      </c>
      <c r="U71" s="2"/>
      <c r="V71" s="6">
        <f t="shared" si="13"/>
        <v>0</v>
      </c>
      <c r="W71" s="2"/>
      <c r="X71" s="2">
        <f t="shared" si="14"/>
        <v>141.24</v>
      </c>
      <c r="Y71" s="2"/>
      <c r="Z71" s="6">
        <f t="shared" si="15"/>
        <v>0</v>
      </c>
    </row>
    <row r="72" spans="1:26" s="70" customFormat="1" ht="15" hidden="1" customHeight="1" outlineLevel="2" x14ac:dyDescent="0.3">
      <c r="A72" s="26"/>
      <c r="B72" s="12" t="str">
        <f>CONCATENATE("          ","6292"," - ","TRAVEL/CONFERENCE")</f>
        <v xml:space="preserve">          6292 - TRAVEL/CONFERENCE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18.59</v>
      </c>
      <c r="Q72" s="3"/>
      <c r="R72" s="8">
        <f t="shared" si="12"/>
        <v>0</v>
      </c>
      <c r="S72" s="3"/>
      <c r="T72" s="7"/>
      <c r="U72" s="3"/>
      <c r="V72" s="8">
        <f t="shared" si="13"/>
        <v>0</v>
      </c>
      <c r="W72" s="3"/>
      <c r="X72" s="7">
        <f t="shared" si="14"/>
        <v>18.59</v>
      </c>
      <c r="Y72" s="3"/>
      <c r="Z72" s="8">
        <f t="shared" si="15"/>
        <v>0</v>
      </c>
    </row>
    <row r="73" spans="1:26" s="70" customFormat="1" ht="15" hidden="1" customHeight="1" outlineLevel="2" x14ac:dyDescent="0.3">
      <c r="A73" s="26"/>
      <c r="B73" s="12" t="str">
        <f>CONCATENATE("          ","6298"," - ","VEHICLE MILEAGE")</f>
        <v xml:space="preserve">          6298 - VEHICLE MILEAGE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122.65</v>
      </c>
      <c r="Q73" s="3"/>
      <c r="R73" s="8">
        <f t="shared" si="12"/>
        <v>0</v>
      </c>
      <c r="S73" s="3"/>
      <c r="T73" s="7"/>
      <c r="U73" s="3"/>
      <c r="V73" s="8">
        <f t="shared" si="13"/>
        <v>0</v>
      </c>
      <c r="W73" s="3"/>
      <c r="X73" s="7">
        <f t="shared" si="14"/>
        <v>122.65</v>
      </c>
      <c r="Y73" s="3"/>
      <c r="Z73" s="8">
        <f t="shared" si="15"/>
        <v>0</v>
      </c>
    </row>
    <row r="74" spans="1:26" s="69" customFormat="1" ht="15" customHeight="1" outlineLevel="1" collapsed="1" x14ac:dyDescent="0.3">
      <c r="A74" s="25"/>
      <c r="B74" s="14" t="str">
        <f>CONCATENATE("     ","Utilities                                         ")</f>
        <v xml:space="preserve">     Utilities                                         </v>
      </c>
      <c r="C74" s="14"/>
      <c r="D74" s="2">
        <f>SUM(OSRRefD22_15x_0)</f>
        <v>5550</v>
      </c>
      <c r="E74" s="2"/>
      <c r="F74" s="6">
        <f t="shared" si="8"/>
        <v>0</v>
      </c>
      <c r="G74" s="2"/>
      <c r="H74" s="2">
        <f>SUM(OSRRefH22_15x_0)</f>
        <v>5550</v>
      </c>
      <c r="I74" s="2"/>
      <c r="J74" s="6">
        <f t="shared" si="9"/>
        <v>0</v>
      </c>
      <c r="K74" s="2"/>
      <c r="L74" s="2">
        <f t="shared" si="10"/>
        <v>0</v>
      </c>
      <c r="M74" s="2"/>
      <c r="N74" s="6">
        <f t="shared" si="11"/>
        <v>0</v>
      </c>
      <c r="O74" s="14"/>
      <c r="P74" s="2">
        <f>SUM(OSRRefP22_15x_0)</f>
        <v>55500</v>
      </c>
      <c r="Q74" s="2"/>
      <c r="R74" s="6">
        <f t="shared" si="12"/>
        <v>0</v>
      </c>
      <c r="S74" s="2"/>
      <c r="T74" s="2">
        <f>SUM(OSRRefT22_15x_0)</f>
        <v>55500</v>
      </c>
      <c r="U74" s="2"/>
      <c r="V74" s="6">
        <f t="shared" si="13"/>
        <v>0</v>
      </c>
      <c r="W74" s="2"/>
      <c r="X74" s="2">
        <f t="shared" si="14"/>
        <v>0</v>
      </c>
      <c r="Y74" s="2"/>
      <c r="Z74" s="6">
        <f t="shared" si="15"/>
        <v>0</v>
      </c>
    </row>
    <row r="75" spans="1:26" s="70" customFormat="1" ht="15" hidden="1" customHeight="1" outlineLevel="2" x14ac:dyDescent="0.3">
      <c r="A75" s="26"/>
      <c r="B75" s="12" t="str">
        <f>CONCATENATE("          ","6274"," - ","UTILITIES")</f>
        <v xml:space="preserve">          6274 - UTILITIES</v>
      </c>
      <c r="C75" s="12"/>
      <c r="D75" s="7">
        <v>5550</v>
      </c>
      <c r="E75" s="3"/>
      <c r="F75" s="8">
        <f t="shared" si="8"/>
        <v>0</v>
      </c>
      <c r="G75" s="3"/>
      <c r="H75" s="7">
        <v>5550</v>
      </c>
      <c r="I75" s="3"/>
      <c r="J75" s="8">
        <f t="shared" si="9"/>
        <v>0</v>
      </c>
      <c r="K75" s="3"/>
      <c r="L75" s="7">
        <f t="shared" si="10"/>
        <v>0</v>
      </c>
      <c r="M75" s="3"/>
      <c r="N75" s="8">
        <f t="shared" si="11"/>
        <v>0</v>
      </c>
      <c r="O75" s="12"/>
      <c r="P75" s="7">
        <v>55500</v>
      </c>
      <c r="Q75" s="3"/>
      <c r="R75" s="8">
        <f t="shared" si="12"/>
        <v>0</v>
      </c>
      <c r="S75" s="3"/>
      <c r="T75" s="7">
        <v>55500</v>
      </c>
      <c r="U75" s="3"/>
      <c r="V75" s="8">
        <f t="shared" si="13"/>
        <v>0</v>
      </c>
      <c r="W75" s="3"/>
      <c r="X75" s="7">
        <f t="shared" si="14"/>
        <v>0</v>
      </c>
      <c r="Y75" s="3"/>
      <c r="Z75" s="8">
        <f t="shared" si="15"/>
        <v>0</v>
      </c>
    </row>
    <row r="76" spans="1:26" s="65" customFormat="1" ht="15" customHeight="1" x14ac:dyDescent="0.3">
      <c r="A76" s="35"/>
      <c r="B76" s="35"/>
      <c r="C76" s="35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35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63" customFormat="1" ht="15" customHeight="1" collapsed="1" x14ac:dyDescent="0.3">
      <c r="A77" s="11"/>
      <c r="B77" s="28" t="s">
        <v>291</v>
      </c>
      <c r="C77" s="11"/>
      <c r="D77" s="5">
        <f>SUM(OSRRefD25x_0)</f>
        <v>0</v>
      </c>
      <c r="E77" s="5"/>
      <c r="F77" s="13">
        <f>IF(D$12=0,0,D77/D$12)</f>
        <v>0</v>
      </c>
      <c r="G77" s="5"/>
      <c r="H77" s="5">
        <f>SUM(OSRRefH25x_0)</f>
        <v>0</v>
      </c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>
        <f>SUM(OSRRefP25x_0)</f>
        <v>34156.61</v>
      </c>
      <c r="Q77" s="5"/>
      <c r="R77" s="13">
        <f>IF(P$12=0,0,P77/P$12)</f>
        <v>0</v>
      </c>
      <c r="S77" s="5"/>
      <c r="T77" s="5">
        <f>SUM(OSRRefT25x_0)</f>
        <v>0</v>
      </c>
      <c r="U77" s="5"/>
      <c r="V77" s="13">
        <f>IF(T$12=0,0,T77/T$12)</f>
        <v>0</v>
      </c>
      <c r="W77" s="5"/>
      <c r="X77" s="5">
        <f>+P77-T77</f>
        <v>34156.61</v>
      </c>
      <c r="Y77" s="5"/>
      <c r="Z77" s="13">
        <f>IF(T77=0,0,X77/T77)</f>
        <v>0</v>
      </c>
    </row>
    <row r="78" spans="1:26" s="70" customFormat="1" ht="15" hidden="1" customHeight="1" outlineLevel="1" x14ac:dyDescent="0.3">
      <c r="A78" s="42"/>
      <c r="B78" s="12" t="str">
        <f>CONCATENATE("          ","9150"," - ","MISC. INCOME")</f>
        <v xml:space="preserve">          9150 - MISC. INCOME</v>
      </c>
      <c r="C78" s="12"/>
      <c r="D78" s="3">
        <f>0</f>
        <v>0</v>
      </c>
      <c r="E78" s="3"/>
      <c r="F78" s="20">
        <f>IF(D$12=0,0,D78/D$12)</f>
        <v>0</v>
      </c>
      <c r="G78" s="3"/>
      <c r="H78" s="3"/>
      <c r="I78" s="3"/>
      <c r="J78" s="20">
        <f>IF(H$12=0,0,H78/H$12)</f>
        <v>0</v>
      </c>
      <c r="K78" s="3"/>
      <c r="L78" s="3">
        <f>+D78-H78</f>
        <v>0</v>
      </c>
      <c r="M78" s="3"/>
      <c r="N78" s="20">
        <f>IF(H78=0,0,L78/H78)</f>
        <v>0</v>
      </c>
      <c r="O78" s="12"/>
      <c r="P78" s="3">
        <f>--34156.61</f>
        <v>34156.61</v>
      </c>
      <c r="Q78" s="3"/>
      <c r="R78" s="20">
        <f>IF(P$12=0,0,P78/P$12)</f>
        <v>0</v>
      </c>
      <c r="S78" s="3"/>
      <c r="T78" s="3"/>
      <c r="U78" s="3"/>
      <c r="V78" s="20">
        <f>IF(T$12=0,0,T78/T$12)</f>
        <v>0</v>
      </c>
      <c r="W78" s="3"/>
      <c r="X78" s="3">
        <f>+P78-T78</f>
        <v>34156.61</v>
      </c>
      <c r="Y78" s="3"/>
      <c r="Z78" s="20">
        <f>IF(T78=0,0,X78/T78)</f>
        <v>0</v>
      </c>
    </row>
    <row r="79" spans="1:26" ht="15" customHeight="1" x14ac:dyDescent="0.3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3">
      <c r="A80" s="11"/>
      <c r="B80" s="27" t="s">
        <v>292</v>
      </c>
      <c r="C80" s="27"/>
      <c r="D80" s="21">
        <f>+D16-D18+D77</f>
        <v>-61037.41</v>
      </c>
      <c r="E80" s="15"/>
      <c r="F80" s="23">
        <f>IF(D$12=0,0,D80/D$12)</f>
        <v>0</v>
      </c>
      <c r="G80" s="15"/>
      <c r="H80" s="21">
        <f>+H16-H18+H77</f>
        <v>-47582.665538461551</v>
      </c>
      <c r="I80" s="15"/>
      <c r="J80" s="23">
        <f>IF(H$12=0,0,H80/H$12)</f>
        <v>0</v>
      </c>
      <c r="K80" s="17"/>
      <c r="L80" s="21">
        <f>+D80-H80</f>
        <v>-13454.744461538452</v>
      </c>
      <c r="M80" s="17"/>
      <c r="N80" s="23">
        <f>IF(H80=0,0,L80/H80)</f>
        <v>0.28276567336613045</v>
      </c>
      <c r="O80" s="28"/>
      <c r="P80" s="21">
        <f>+P16-P18+P77</f>
        <v>-469917.49</v>
      </c>
      <c r="Q80" s="15"/>
      <c r="R80" s="23">
        <f>IF(P$12=0,0,P80/P$12)</f>
        <v>0</v>
      </c>
      <c r="S80" s="15"/>
      <c r="T80" s="21">
        <f>+T16-T18+T77</f>
        <v>-454013.45673846197</v>
      </c>
      <c r="U80" s="15"/>
      <c r="V80" s="23">
        <f>IF(T$12=0,0,T80/T$12)</f>
        <v>0</v>
      </c>
      <c r="W80" s="17"/>
      <c r="X80" s="21">
        <f>+P80-T80</f>
        <v>-15904.033261538018</v>
      </c>
      <c r="Y80" s="17"/>
      <c r="Z80" s="23">
        <f>IF(T80=0,0,X80/T80)</f>
        <v>3.5029871968529913E-2</v>
      </c>
    </row>
    <row r="81" spans="1:26" ht="15" customHeight="1" x14ac:dyDescent="0.3">
      <c r="A81" s="10"/>
      <c r="B81" s="11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49"/>
      <c r="B82" s="11" t="s">
        <v>293</v>
      </c>
      <c r="C82" s="11"/>
      <c r="D82" s="5"/>
      <c r="E82" s="5"/>
      <c r="F82" s="13">
        <f>IF(D$12=0,0,D82/D$12)</f>
        <v>0</v>
      </c>
      <c r="G82" s="5"/>
      <c r="H82" s="5"/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/>
      <c r="Q82" s="5"/>
      <c r="R82" s="13">
        <f>IF(P$12=0,0,P82/P$12)</f>
        <v>0</v>
      </c>
      <c r="S82" s="5"/>
      <c r="T82" s="5"/>
      <c r="U82" s="5"/>
      <c r="V82" s="13">
        <f>IF(T$12=0,0,T82/T$12)</f>
        <v>0</v>
      </c>
      <c r="W82" s="5"/>
      <c r="X82" s="5">
        <f>+P82-T82</f>
        <v>0</v>
      </c>
      <c r="Y82" s="5"/>
      <c r="Z82" s="13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294</v>
      </c>
      <c r="C84" s="27"/>
      <c r="D84" s="29">
        <f>+D80-D82</f>
        <v>-61037.41</v>
      </c>
      <c r="E84" s="15"/>
      <c r="F84" s="30">
        <f>IF(D$12=0,0,D84/D$12)</f>
        <v>0</v>
      </c>
      <c r="G84" s="15"/>
      <c r="H84" s="29">
        <f>+H80-H82</f>
        <v>-47582.665538461551</v>
      </c>
      <c r="I84" s="15"/>
      <c r="J84" s="30">
        <f>IF(H$12=0,0,H84/H$12)</f>
        <v>0</v>
      </c>
      <c r="K84" s="17"/>
      <c r="L84" s="29">
        <f>D84-H84</f>
        <v>-13454.744461538452</v>
      </c>
      <c r="M84" s="17"/>
      <c r="N84" s="30">
        <f>IF(H84=0,0,L84/H84)</f>
        <v>0.28276567336613045</v>
      </c>
      <c r="O84" s="28"/>
      <c r="P84" s="29">
        <f>+P80-P82</f>
        <v>-469917.49</v>
      </c>
      <c r="Q84" s="15"/>
      <c r="R84" s="30">
        <f>IF(P$12=0,0,P84/P$12)</f>
        <v>0</v>
      </c>
      <c r="S84" s="15"/>
      <c r="T84" s="29">
        <f>+T80-T82</f>
        <v>-454013.45673846197</v>
      </c>
      <c r="U84" s="15"/>
      <c r="V84" s="30">
        <f>IF(T$12=0,0,T84/T$12)</f>
        <v>0</v>
      </c>
      <c r="W84" s="17"/>
      <c r="X84" s="29">
        <f>P84-T84</f>
        <v>-15904.033261538018</v>
      </c>
      <c r="Y84" s="17"/>
      <c r="Z84" s="30">
        <f>IF(T84=0,0,X84/T84)</f>
        <v>3.5029871968529913E-2</v>
      </c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3" customFormat="1" ht="15" customHeight="1" x14ac:dyDescent="0.3">
      <c r="A87" s="11"/>
      <c r="B87" s="27" t="s">
        <v>297</v>
      </c>
      <c r="C87" s="27"/>
      <c r="D87" s="32">
        <f>SUM(D84:D86)</f>
        <v>-61037.41</v>
      </c>
      <c r="E87" s="15"/>
      <c r="F87" s="34">
        <f>IF(D$12=0,0,D87/D$12)</f>
        <v>0</v>
      </c>
      <c r="G87" s="15"/>
      <c r="H87" s="32">
        <f>SUM(H84:H86)</f>
        <v>-47582.665538461551</v>
      </c>
      <c r="I87" s="15"/>
      <c r="J87" s="34">
        <f>IF(H$12=0,0,H87/H$12)</f>
        <v>0</v>
      </c>
      <c r="K87" s="17"/>
      <c r="L87" s="32">
        <f>+D87-H87</f>
        <v>-13454.744461538452</v>
      </c>
      <c r="M87" s="17"/>
      <c r="N87" s="34">
        <f>IF(H87=0,0,L87/H87)</f>
        <v>0.28276567336613045</v>
      </c>
      <c r="O87" s="28"/>
      <c r="P87" s="32">
        <f>SUM(P84:P86)</f>
        <v>-469917.49</v>
      </c>
      <c r="Q87" s="15"/>
      <c r="R87" s="34">
        <f>IF(P$12=0,0,P87/P$12)</f>
        <v>0</v>
      </c>
      <c r="S87" s="15"/>
      <c r="T87" s="32">
        <f>SUM(T84:T86)</f>
        <v>-454013.45673846197</v>
      </c>
      <c r="U87" s="15"/>
      <c r="V87" s="34">
        <f>IF(T$12=0,0,T87/T$12)</f>
        <v>0</v>
      </c>
      <c r="W87" s="17"/>
      <c r="X87" s="32">
        <f>+P87-T87</f>
        <v>-15904.033261538018</v>
      </c>
      <c r="Y87" s="17"/>
      <c r="Z87" s="34">
        <f>IF(T87=0,0,X87/T87)</f>
        <v>3.5029871968529913E-2</v>
      </c>
    </row>
    <row r="88" spans="1:26" ht="15" customHeight="1" x14ac:dyDescent="0.3">
      <c r="A88" s="10"/>
      <c r="C88" s="10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A89" s="10"/>
      <c r="B89" s="56">
        <v>44694.888552430559</v>
      </c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0" t="s">
        <v>298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1"/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6451A-D3F6-74CB-2351-E57F0CA7A76C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","412"," - ","Chartroom")</f>
        <v>Department 412 - Chartroom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314.83000000000004</v>
      </c>
      <c r="E18" s="22"/>
      <c r="F18" s="33">
        <f t="shared" ref="F18:F28" si="0">IF(D$12=0,0,D18/D$12)</f>
        <v>0</v>
      </c>
      <c r="G18" s="22"/>
      <c r="H18" s="22" cm="1">
        <f t="array" ref="H18">SUM(OSRRefH22x_0)</f>
        <v>577</v>
      </c>
      <c r="I18" s="22"/>
      <c r="J18" s="33">
        <f t="shared" ref="J18:J28" si="1">IF(H$12=0,0,H18/H$12)</f>
        <v>0</v>
      </c>
      <c r="K18" s="5"/>
      <c r="L18" s="22">
        <f t="shared" ref="L18:L28" si="2">+D18-H18</f>
        <v>-262.16999999999996</v>
      </c>
      <c r="M18" s="5"/>
      <c r="N18" s="33">
        <f t="shared" ref="N18:N28" si="3">IF(H18=0,0,L18/H18)</f>
        <v>-0.45436741767764294</v>
      </c>
      <c r="O18" s="11"/>
      <c r="P18" s="22" cm="1">
        <f t="array" ref="P18">SUM(OSRRefP22x_0)</f>
        <v>5833.6400000000012</v>
      </c>
      <c r="Q18" s="22"/>
      <c r="R18" s="33">
        <f t="shared" ref="R18:R28" si="4">IF(P$12=0,0,P18/P$12)</f>
        <v>0</v>
      </c>
      <c r="S18" s="22"/>
      <c r="T18" s="22" cm="1">
        <f t="array" ref="T18">SUM(OSRRefT22x_0)</f>
        <v>5770</v>
      </c>
      <c r="U18" s="22"/>
      <c r="V18" s="33">
        <f t="shared" ref="V18:V28" si="5">IF(T$12=0,0,T18/T$12)</f>
        <v>0</v>
      </c>
      <c r="W18" s="5"/>
      <c r="X18" s="22">
        <f t="shared" ref="X18:X28" si="6">+P18-T18</f>
        <v>63.640000000001237</v>
      </c>
      <c r="Y18" s="5"/>
      <c r="Z18" s="33">
        <f t="shared" ref="Z18:Z28" si="7">IF(T18=0,0,X18/T18)</f>
        <v>1.1029462738301774E-2</v>
      </c>
    </row>
    <row r="19" spans="1:26" s="69" customFormat="1" ht="15" customHeight="1" outlineLevel="1" collapsed="1" x14ac:dyDescent="0.3">
      <c r="A19" s="25"/>
      <c r="B19" s="14" t="str">
        <f>CONCATENATE("     ","*Payroll                                          ")</f>
        <v xml:space="preserve">     *Payroll                                          </v>
      </c>
      <c r="C19" s="14"/>
      <c r="D19" s="2">
        <f>SUM(OSRRefD22_0x_0)</f>
        <v>-262.52999999999997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-262.52999999999997</v>
      </c>
      <c r="M19" s="2"/>
      <c r="N19" s="6">
        <f t="shared" si="3"/>
        <v>0</v>
      </c>
      <c r="O19" s="14"/>
      <c r="P19" s="2">
        <f>SUM(OSRRefP22_0x_0)</f>
        <v>-262.52999999999997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-262.52999999999997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","6002"," - ","STAFF SALARIES")</f>
        <v xml:space="preserve">          6002 - STAFF SALARIES</v>
      </c>
      <c r="C20" s="12"/>
      <c r="D20" s="7">
        <v>-262.52999999999997</v>
      </c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-262.52999999999997</v>
      </c>
      <c r="M20" s="3"/>
      <c r="N20" s="8">
        <f t="shared" si="3"/>
        <v>0</v>
      </c>
      <c r="O20" s="12"/>
      <c r="P20" s="7">
        <v>-262.52999999999997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-262.52999999999997</v>
      </c>
      <c r="Y20" s="3"/>
      <c r="Z20" s="8">
        <f t="shared" si="7"/>
        <v>0</v>
      </c>
    </row>
    <row r="21" spans="1:26" s="69" customFormat="1" ht="15" customHeight="1" outlineLevel="1" collapsed="1" x14ac:dyDescent="0.3">
      <c r="A21" s="25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577.36</v>
      </c>
      <c r="E21" s="2"/>
      <c r="F21" s="6">
        <f t="shared" si="0"/>
        <v>0</v>
      </c>
      <c r="G21" s="2"/>
      <c r="H21" s="2">
        <f>SUM(OSRRefH22_1x_0)</f>
        <v>577</v>
      </c>
      <c r="I21" s="2"/>
      <c r="J21" s="6">
        <f t="shared" si="1"/>
        <v>0</v>
      </c>
      <c r="K21" s="2"/>
      <c r="L21" s="2">
        <f t="shared" si="2"/>
        <v>0.36000000000001364</v>
      </c>
      <c r="M21" s="2"/>
      <c r="N21" s="6">
        <f t="shared" si="3"/>
        <v>6.2391681109187809E-4</v>
      </c>
      <c r="O21" s="14"/>
      <c r="P21" s="2">
        <f>SUM(OSRRefP22_1x_0)</f>
        <v>5773.6</v>
      </c>
      <c r="Q21" s="2"/>
      <c r="R21" s="6">
        <f t="shared" si="4"/>
        <v>0</v>
      </c>
      <c r="S21" s="2"/>
      <c r="T21" s="2">
        <f>SUM(OSRRefT22_1x_0)</f>
        <v>5770</v>
      </c>
      <c r="U21" s="2"/>
      <c r="V21" s="6">
        <f t="shared" si="5"/>
        <v>0</v>
      </c>
      <c r="W21" s="2"/>
      <c r="X21" s="2">
        <f t="shared" si="6"/>
        <v>3.6000000000003638</v>
      </c>
      <c r="Y21" s="2"/>
      <c r="Z21" s="6">
        <f t="shared" si="7"/>
        <v>6.2391681109191745E-4</v>
      </c>
    </row>
    <row r="22" spans="1:26" s="70" customFormat="1" ht="15" hidden="1" customHeight="1" outlineLevel="2" x14ac:dyDescent="0.3">
      <c r="A22" s="26"/>
      <c r="B22" s="12" t="str">
        <f>CONCATENATE("          ","6322"," - ","EQUIPMENT DEPRECIATION EXPENSE")</f>
        <v xml:space="preserve">          6322 - EQUIPMENT DEPRECIATION EXPENSE</v>
      </c>
      <c r="C22" s="12"/>
      <c r="D22" s="7">
        <v>577.36</v>
      </c>
      <c r="E22" s="3"/>
      <c r="F22" s="8">
        <f t="shared" si="0"/>
        <v>0</v>
      </c>
      <c r="G22" s="3"/>
      <c r="H22" s="7">
        <v>577</v>
      </c>
      <c r="I22" s="3"/>
      <c r="J22" s="8">
        <f t="shared" si="1"/>
        <v>0</v>
      </c>
      <c r="K22" s="3"/>
      <c r="L22" s="7">
        <f t="shared" si="2"/>
        <v>0.36000000000001364</v>
      </c>
      <c r="M22" s="3"/>
      <c r="N22" s="8">
        <f t="shared" si="3"/>
        <v>6.2391681109187809E-4</v>
      </c>
      <c r="O22" s="12"/>
      <c r="P22" s="7">
        <v>5773.6</v>
      </c>
      <c r="Q22" s="3"/>
      <c r="R22" s="8">
        <f t="shared" si="4"/>
        <v>0</v>
      </c>
      <c r="S22" s="3"/>
      <c r="T22" s="7">
        <v>5770</v>
      </c>
      <c r="U22" s="3"/>
      <c r="V22" s="8">
        <f t="shared" si="5"/>
        <v>0</v>
      </c>
      <c r="W22" s="3"/>
      <c r="X22" s="7">
        <f t="shared" si="6"/>
        <v>3.6000000000003638</v>
      </c>
      <c r="Y22" s="3"/>
      <c r="Z22" s="8">
        <f t="shared" si="7"/>
        <v>6.2391681109191745E-4</v>
      </c>
    </row>
    <row r="23" spans="1:26" s="69" customFormat="1" ht="15" customHeight="1" outlineLevel="1" collapsed="1" x14ac:dyDescent="0.3">
      <c r="A23" s="25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186.97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186.97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","6373"," - ","MAINTENANCE CONTRACTS")</f>
        <v xml:space="preserve">          6373 - MAINTENANCE CONTRACTS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>
        <v>186.97</v>
      </c>
      <c r="Q24" s="3"/>
      <c r="R24" s="8">
        <f t="shared" si="4"/>
        <v>0</v>
      </c>
      <c r="S24" s="3"/>
      <c r="T24" s="7"/>
      <c r="U24" s="3"/>
      <c r="V24" s="8">
        <f t="shared" si="5"/>
        <v>0</v>
      </c>
      <c r="W24" s="3"/>
      <c r="X24" s="7">
        <f t="shared" si="6"/>
        <v>186.97</v>
      </c>
      <c r="Y24" s="3"/>
      <c r="Z24" s="8">
        <f t="shared" si="7"/>
        <v>0</v>
      </c>
    </row>
    <row r="25" spans="1:26" s="69" customFormat="1" ht="15" customHeight="1" outlineLevel="1" collapsed="1" x14ac:dyDescent="0.3">
      <c r="A25" s="25"/>
      <c r="B25" s="14" t="str">
        <f>CONCATENATE("     ","Services                                          ")</f>
        <v xml:space="preserve">     Services            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0</v>
      </c>
      <c r="Q25" s="2"/>
      <c r="R25" s="6">
        <f t="shared" si="4"/>
        <v>0</v>
      </c>
      <c r="S25" s="2"/>
      <c r="T25" s="2">
        <f>SUM(OSRRefT22_3x_0)</f>
        <v>0</v>
      </c>
      <c r="U25" s="2"/>
      <c r="V25" s="6">
        <f t="shared" si="5"/>
        <v>0</v>
      </c>
      <c r="W25" s="2"/>
      <c r="X25" s="2">
        <f t="shared" si="6"/>
        <v>0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","6284"," - ","TRASH REMOVAL EXPENSE")</f>
        <v xml:space="preserve">          6284 - TRASH REMOVAL EXPENSE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69" customFormat="1" ht="15" customHeight="1" outlineLevel="1" collapsed="1" x14ac:dyDescent="0.3">
      <c r="A27" s="25"/>
      <c r="B27" s="14" t="str">
        <f>CONCATENATE("     ","Telephone/Data Lines                              ")</f>
        <v xml:space="preserve">     Telephone/Data Lines                              </v>
      </c>
      <c r="C27" s="14"/>
      <c r="D27" s="2">
        <f>SUM(OSRRefD22_4x_0)</f>
        <v>0</v>
      </c>
      <c r="E27" s="2"/>
      <c r="F27" s="6">
        <f t="shared" si="0"/>
        <v>0</v>
      </c>
      <c r="G27" s="2"/>
      <c r="H27" s="2">
        <f>SUM(OSRRefH22_4x_0)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SUM(OSRRefP22_4x_0)</f>
        <v>135.6</v>
      </c>
      <c r="Q27" s="2"/>
      <c r="R27" s="6">
        <f t="shared" si="4"/>
        <v>0</v>
      </c>
      <c r="S27" s="2"/>
      <c r="T27" s="2">
        <f>SUM(OSRRefT22_4x_0)</f>
        <v>0</v>
      </c>
      <c r="U27" s="2"/>
      <c r="V27" s="6">
        <f t="shared" si="5"/>
        <v>0</v>
      </c>
      <c r="W27" s="2"/>
      <c r="X27" s="2">
        <f t="shared" si="6"/>
        <v>135.6</v>
      </c>
      <c r="Y27" s="2"/>
      <c r="Z27" s="6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","6309"," - ","TELEPHONE")</f>
        <v xml:space="preserve">          6309 - TELEPHONE</v>
      </c>
      <c r="C28" s="12"/>
      <c r="D28" s="7"/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>
        <v>135.6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135.6</v>
      </c>
      <c r="Y28" s="3"/>
      <c r="Z28" s="8">
        <f t="shared" si="7"/>
        <v>0</v>
      </c>
    </row>
    <row r="29" spans="1:26" s="65" customFormat="1" ht="15" customHeight="1" x14ac:dyDescent="0.3">
      <c r="A29" s="35"/>
      <c r="B29" s="35"/>
      <c r="C29" s="35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5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3" customFormat="1" ht="15" customHeight="1" x14ac:dyDescent="0.3">
      <c r="A30" s="11"/>
      <c r="B30" s="28" t="s">
        <v>291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292</v>
      </c>
      <c r="C32" s="27"/>
      <c r="D32" s="21">
        <f>+D16-D18+D30</f>
        <v>-314.83000000000004</v>
      </c>
      <c r="E32" s="15"/>
      <c r="F32" s="23">
        <f>IF(D$12=0,0,D32/D$12)</f>
        <v>0</v>
      </c>
      <c r="G32" s="15"/>
      <c r="H32" s="21">
        <f>+H16-H18+H30</f>
        <v>-577</v>
      </c>
      <c r="I32" s="15"/>
      <c r="J32" s="23">
        <f>IF(H$12=0,0,H32/H$12)</f>
        <v>0</v>
      </c>
      <c r="K32" s="17"/>
      <c r="L32" s="21">
        <f>+D32-H32</f>
        <v>262.16999999999996</v>
      </c>
      <c r="M32" s="17"/>
      <c r="N32" s="23">
        <f>IF(H32=0,0,L32/H32)</f>
        <v>-0.45436741767764294</v>
      </c>
      <c r="O32" s="28"/>
      <c r="P32" s="21">
        <f>+P16-P18+P30</f>
        <v>-5833.6400000000012</v>
      </c>
      <c r="Q32" s="15"/>
      <c r="R32" s="23">
        <f>IF(P$12=0,0,P32/P$12)</f>
        <v>0</v>
      </c>
      <c r="S32" s="15"/>
      <c r="T32" s="21">
        <f>+T16-T18+T30</f>
        <v>-5770</v>
      </c>
      <c r="U32" s="15"/>
      <c r="V32" s="23">
        <f>IF(T$12=0,0,T32/T$12)</f>
        <v>0</v>
      </c>
      <c r="W32" s="17"/>
      <c r="X32" s="21">
        <f>+P32-T32</f>
        <v>-63.640000000001237</v>
      </c>
      <c r="Y32" s="17"/>
      <c r="Z32" s="23">
        <f>IF(T32=0,0,X32/T32)</f>
        <v>1.1029462738301774E-2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3">
      <c r="A34" s="49"/>
      <c r="B34" s="11" t="s">
        <v>293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294</v>
      </c>
      <c r="C36" s="27"/>
      <c r="D36" s="29">
        <f>+D32-D34</f>
        <v>-314.83000000000004</v>
      </c>
      <c r="E36" s="15"/>
      <c r="F36" s="30">
        <f>IF(D$12=0,0,D36/D$12)</f>
        <v>0</v>
      </c>
      <c r="G36" s="15"/>
      <c r="H36" s="29">
        <f>+H32-H34</f>
        <v>-577</v>
      </c>
      <c r="I36" s="15"/>
      <c r="J36" s="30">
        <f>IF(H$12=0,0,H36/H$12)</f>
        <v>0</v>
      </c>
      <c r="K36" s="17"/>
      <c r="L36" s="29">
        <f>D36-H36</f>
        <v>262.16999999999996</v>
      </c>
      <c r="M36" s="17"/>
      <c r="N36" s="30">
        <f>IF(H36=0,0,L36/H36)</f>
        <v>-0.45436741767764294</v>
      </c>
      <c r="O36" s="28"/>
      <c r="P36" s="29">
        <f>+P32-P34</f>
        <v>-5833.6400000000012</v>
      </c>
      <c r="Q36" s="15"/>
      <c r="R36" s="30">
        <f>IF(P$12=0,0,P36/P$12)</f>
        <v>0</v>
      </c>
      <c r="S36" s="15"/>
      <c r="T36" s="29">
        <f>+T32-T34</f>
        <v>-5770</v>
      </c>
      <c r="U36" s="15"/>
      <c r="V36" s="30">
        <f>IF(T$12=0,0,T36/T$12)</f>
        <v>0</v>
      </c>
      <c r="W36" s="17"/>
      <c r="X36" s="29">
        <f>P36-T36</f>
        <v>-63.640000000001237</v>
      </c>
      <c r="Y36" s="17"/>
      <c r="Z36" s="30">
        <f>IF(T36=0,0,X36/T36)</f>
        <v>1.1029462738301774E-2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3" customFormat="1" ht="15" customHeight="1" x14ac:dyDescent="0.3">
      <c r="A39" s="11"/>
      <c r="B39" s="27" t="s">
        <v>297</v>
      </c>
      <c r="C39" s="27"/>
      <c r="D39" s="32">
        <f>SUM(D36:D38)</f>
        <v>-314.83000000000004</v>
      </c>
      <c r="E39" s="15"/>
      <c r="F39" s="34">
        <f>IF(D$12=0,0,D39/D$12)</f>
        <v>0</v>
      </c>
      <c r="G39" s="15"/>
      <c r="H39" s="32">
        <f>SUM(H36:H38)</f>
        <v>-577</v>
      </c>
      <c r="I39" s="15"/>
      <c r="J39" s="34">
        <f>IF(H$12=0,0,H39/H$12)</f>
        <v>0</v>
      </c>
      <c r="K39" s="17"/>
      <c r="L39" s="32">
        <f>+D39-H39</f>
        <v>262.16999999999996</v>
      </c>
      <c r="M39" s="17"/>
      <c r="N39" s="34">
        <f>IF(H39=0,0,L39/H39)</f>
        <v>-0.45436741767764294</v>
      </c>
      <c r="O39" s="28"/>
      <c r="P39" s="32">
        <f>SUM(P36:P38)</f>
        <v>-5833.6400000000012</v>
      </c>
      <c r="Q39" s="15"/>
      <c r="R39" s="34">
        <f>IF(P$12=0,0,P39/P$12)</f>
        <v>0</v>
      </c>
      <c r="S39" s="15"/>
      <c r="T39" s="32">
        <f>SUM(T36:T38)</f>
        <v>-5770</v>
      </c>
      <c r="U39" s="15"/>
      <c r="V39" s="34">
        <f>IF(T$12=0,0,T39/T$12)</f>
        <v>0</v>
      </c>
      <c r="W39" s="17"/>
      <c r="X39" s="32">
        <f>+P39-T39</f>
        <v>-63.640000000001237</v>
      </c>
      <c r="Y39" s="17"/>
      <c r="Z39" s="34">
        <f>IF(T39=0,0,X39/T39)</f>
        <v>1.1029462738301774E-2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6">
        <v>44694.888552430559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0" t="s">
        <v>298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1"/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71CDB-326B-31C2-EAD7-69C42B4FAFCF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","413"," - ","Beach Walk")</f>
        <v>Department 413 - Beach Walk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58.03</v>
      </c>
      <c r="E18" s="22"/>
      <c r="F18" s="33">
        <f t="shared" ref="F18:F24" si="0">IF(D$12=0,0,D18/D$12)</f>
        <v>0</v>
      </c>
      <c r="G18" s="22"/>
      <c r="H18" s="22" cm="1">
        <f t="array" ref="H18">SUM(OSRRefH22x_0)</f>
        <v>58</v>
      </c>
      <c r="I18" s="22"/>
      <c r="J18" s="33">
        <f t="shared" ref="J18:J24" si="1">IF(H$12=0,0,H18/H$12)</f>
        <v>0</v>
      </c>
      <c r="K18" s="5"/>
      <c r="L18" s="22">
        <f t="shared" ref="L18:L24" si="2">+D18-H18</f>
        <v>3.0000000000001137E-2</v>
      </c>
      <c r="M18" s="5"/>
      <c r="N18" s="33">
        <f t="shared" ref="N18:N24" si="3">IF(H18=0,0,L18/H18)</f>
        <v>5.1724137931036447E-4</v>
      </c>
      <c r="O18" s="11"/>
      <c r="P18" s="22" cm="1">
        <f t="array" ref="P18">SUM(OSRRefP22x_0)</f>
        <v>945.1099999999999</v>
      </c>
      <c r="Q18" s="22"/>
      <c r="R18" s="33">
        <f t="shared" ref="R18:R24" si="4">IF(P$12=0,0,P18/P$12)</f>
        <v>0</v>
      </c>
      <c r="S18" s="22"/>
      <c r="T18" s="22" cm="1">
        <f t="array" ref="T18">SUM(OSRRefT22x_0)</f>
        <v>580</v>
      </c>
      <c r="U18" s="22"/>
      <c r="V18" s="33">
        <f t="shared" ref="V18:V24" si="5">IF(T$12=0,0,T18/T$12)</f>
        <v>0</v>
      </c>
      <c r="W18" s="5"/>
      <c r="X18" s="22">
        <f t="shared" ref="X18:X24" si="6">+P18-T18</f>
        <v>365.1099999999999</v>
      </c>
      <c r="Y18" s="5"/>
      <c r="Z18" s="33">
        <f t="shared" ref="Z18:Z24" si="7">IF(T18=0,0,X18/T18)</f>
        <v>0.62949999999999984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58.03</v>
      </c>
      <c r="E19" s="2"/>
      <c r="F19" s="6">
        <f t="shared" si="0"/>
        <v>0</v>
      </c>
      <c r="G19" s="2"/>
      <c r="H19" s="2">
        <f>SUM(OSRRefH22_0x_0)</f>
        <v>58</v>
      </c>
      <c r="I19" s="2"/>
      <c r="J19" s="6">
        <f t="shared" si="1"/>
        <v>0</v>
      </c>
      <c r="K19" s="2"/>
      <c r="L19" s="2">
        <f t="shared" si="2"/>
        <v>3.0000000000001137E-2</v>
      </c>
      <c r="M19" s="2"/>
      <c r="N19" s="6">
        <f t="shared" si="3"/>
        <v>5.1724137931036447E-4</v>
      </c>
      <c r="O19" s="14"/>
      <c r="P19" s="2">
        <f>SUM(OSRRefP22_0x_0)</f>
        <v>580.29999999999995</v>
      </c>
      <c r="Q19" s="2"/>
      <c r="R19" s="6">
        <f t="shared" si="4"/>
        <v>0</v>
      </c>
      <c r="S19" s="2"/>
      <c r="T19" s="2">
        <f>SUM(OSRRefT22_0x_0)</f>
        <v>580</v>
      </c>
      <c r="U19" s="2"/>
      <c r="V19" s="6">
        <f t="shared" si="5"/>
        <v>0</v>
      </c>
      <c r="W19" s="2"/>
      <c r="X19" s="2">
        <f t="shared" si="6"/>
        <v>0.29999999999995453</v>
      </c>
      <c r="Y19" s="2"/>
      <c r="Z19" s="6">
        <f t="shared" si="7"/>
        <v>5.1724137931026645E-4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7">
        <v>58.03</v>
      </c>
      <c r="E20" s="3"/>
      <c r="F20" s="8">
        <f t="shared" si="0"/>
        <v>0</v>
      </c>
      <c r="G20" s="3"/>
      <c r="H20" s="7">
        <v>58</v>
      </c>
      <c r="I20" s="3"/>
      <c r="J20" s="8">
        <f t="shared" si="1"/>
        <v>0</v>
      </c>
      <c r="K20" s="3"/>
      <c r="L20" s="7">
        <f t="shared" si="2"/>
        <v>3.0000000000001137E-2</v>
      </c>
      <c r="M20" s="3"/>
      <c r="N20" s="8">
        <f t="shared" si="3"/>
        <v>5.1724137931036447E-4</v>
      </c>
      <c r="O20" s="12"/>
      <c r="P20" s="7">
        <v>580.29999999999995</v>
      </c>
      <c r="Q20" s="3"/>
      <c r="R20" s="8">
        <f t="shared" si="4"/>
        <v>0</v>
      </c>
      <c r="S20" s="3"/>
      <c r="T20" s="7">
        <v>580</v>
      </c>
      <c r="U20" s="3"/>
      <c r="V20" s="8">
        <f t="shared" si="5"/>
        <v>0</v>
      </c>
      <c r="W20" s="3"/>
      <c r="X20" s="7">
        <f t="shared" si="6"/>
        <v>0.29999999999995453</v>
      </c>
      <c r="Y20" s="3"/>
      <c r="Z20" s="8">
        <f t="shared" si="7"/>
        <v>5.1724137931026645E-4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364.81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364.81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>
        <v>364.81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364.81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+D16-D18+D26</f>
        <v>-58.03</v>
      </c>
      <c r="E28" s="15"/>
      <c r="F28" s="23">
        <f>IF(D$12=0,0,D28/D$12)</f>
        <v>0</v>
      </c>
      <c r="G28" s="15"/>
      <c r="H28" s="21">
        <f>+H16-H18+H26</f>
        <v>-58</v>
      </c>
      <c r="I28" s="15"/>
      <c r="J28" s="23">
        <f>IF(H$12=0,0,H28/H$12)</f>
        <v>0</v>
      </c>
      <c r="K28" s="17"/>
      <c r="L28" s="21">
        <f>+D28-H28</f>
        <v>-3.0000000000001137E-2</v>
      </c>
      <c r="M28" s="17"/>
      <c r="N28" s="23">
        <f>IF(H28=0,0,L28/H28)</f>
        <v>5.1724137931036447E-4</v>
      </c>
      <c r="O28" s="28"/>
      <c r="P28" s="21">
        <f>+P16-P18+P26</f>
        <v>-945.1099999999999</v>
      </c>
      <c r="Q28" s="15"/>
      <c r="R28" s="23">
        <f>IF(P$12=0,0,P28/P$12)</f>
        <v>0</v>
      </c>
      <c r="S28" s="15"/>
      <c r="T28" s="21">
        <f>+T16-T18+T26</f>
        <v>-580</v>
      </c>
      <c r="U28" s="15"/>
      <c r="V28" s="23">
        <f>IF(T$12=0,0,T28/T$12)</f>
        <v>0</v>
      </c>
      <c r="W28" s="17"/>
      <c r="X28" s="21">
        <f>+P28-T28</f>
        <v>-365.1099999999999</v>
      </c>
      <c r="Y28" s="17"/>
      <c r="Z28" s="23">
        <f>IF(T28=0,0,X28/T28)</f>
        <v>0.62949999999999984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29">
        <f>+D28-D30</f>
        <v>-58.03</v>
      </c>
      <c r="E32" s="15"/>
      <c r="F32" s="30">
        <f>IF(D$12=0,0,D32/D$12)</f>
        <v>0</v>
      </c>
      <c r="G32" s="15"/>
      <c r="H32" s="29">
        <f>+H28-H30</f>
        <v>-58</v>
      </c>
      <c r="I32" s="15"/>
      <c r="J32" s="30">
        <f>IF(H$12=0,0,H32/H$12)</f>
        <v>0</v>
      </c>
      <c r="K32" s="17"/>
      <c r="L32" s="29">
        <f>D32-H32</f>
        <v>-3.0000000000001137E-2</v>
      </c>
      <c r="M32" s="17"/>
      <c r="N32" s="30">
        <f>IF(H32=0,0,L32/H32)</f>
        <v>5.1724137931036447E-4</v>
      </c>
      <c r="O32" s="28"/>
      <c r="P32" s="29">
        <f>+P28-P30</f>
        <v>-945.1099999999999</v>
      </c>
      <c r="Q32" s="15"/>
      <c r="R32" s="30">
        <f>IF(P$12=0,0,P32/P$12)</f>
        <v>0</v>
      </c>
      <c r="S32" s="15"/>
      <c r="T32" s="29">
        <f>+T28-T30</f>
        <v>-580</v>
      </c>
      <c r="U32" s="15"/>
      <c r="V32" s="30">
        <f>IF(T$12=0,0,T32/T$12)</f>
        <v>0</v>
      </c>
      <c r="W32" s="17"/>
      <c r="X32" s="29">
        <f>P32-T32</f>
        <v>-365.1099999999999</v>
      </c>
      <c r="Y32" s="17"/>
      <c r="Z32" s="30">
        <f>IF(T32=0,0,X32/T32)</f>
        <v>0.62949999999999984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-58.03</v>
      </c>
      <c r="E35" s="15"/>
      <c r="F35" s="34">
        <f>IF(D$12=0,0,D35/D$12)</f>
        <v>0</v>
      </c>
      <c r="G35" s="15"/>
      <c r="H35" s="32">
        <f>SUM(H32:H34)</f>
        <v>-58</v>
      </c>
      <c r="I35" s="15"/>
      <c r="J35" s="34">
        <f>IF(H$12=0,0,H35/H$12)</f>
        <v>0</v>
      </c>
      <c r="K35" s="17"/>
      <c r="L35" s="32">
        <f>+D35-H35</f>
        <v>-3.0000000000001137E-2</v>
      </c>
      <c r="M35" s="17"/>
      <c r="N35" s="34">
        <f>IF(H35=0,0,L35/H35)</f>
        <v>5.1724137931036447E-4</v>
      </c>
      <c r="O35" s="28"/>
      <c r="P35" s="32">
        <f>SUM(P32:P34)</f>
        <v>-945.1099999999999</v>
      </c>
      <c r="Q35" s="15"/>
      <c r="R35" s="34">
        <f>IF(P$12=0,0,P35/P$12)</f>
        <v>0</v>
      </c>
      <c r="S35" s="15"/>
      <c r="T35" s="32">
        <f>SUM(T32:T34)</f>
        <v>-580</v>
      </c>
      <c r="U35" s="15"/>
      <c r="V35" s="34">
        <f>IF(T$12=0,0,T35/T$12)</f>
        <v>0</v>
      </c>
      <c r="W35" s="17"/>
      <c r="X35" s="32">
        <f>+P35-T35</f>
        <v>-365.1099999999999</v>
      </c>
      <c r="Y35" s="17"/>
      <c r="Z35" s="34">
        <f>IF(T35=0,0,X35/T35)</f>
        <v>0.62949999999999984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6">
        <v>44694.888552430559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0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1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053F2-ED18-6DA2-2136-F2D0FCF1E57F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","414"," - ","Starbucks UDP")</f>
        <v>Department 414 - Starbucks UDP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0</v>
      </c>
      <c r="E18" s="22"/>
      <c r="F18" s="33">
        <f t="shared" ref="F18:F24" si="0">IF(D$12=0,0,D18/D$12)</f>
        <v>0</v>
      </c>
      <c r="G18" s="22"/>
      <c r="H18" s="22" cm="1">
        <f t="array" ref="H18">SUM(OSRRefH22x_0)</f>
        <v>0</v>
      </c>
      <c r="I18" s="22"/>
      <c r="J18" s="33">
        <f t="shared" ref="J18:J24" si="1">IF(H$12=0,0,H18/H$12)</f>
        <v>0</v>
      </c>
      <c r="K18" s="5"/>
      <c r="L18" s="22">
        <f t="shared" ref="L18:L24" si="2">+D18-H18</f>
        <v>0</v>
      </c>
      <c r="M18" s="5"/>
      <c r="N18" s="33">
        <f t="shared" ref="N18:N24" si="3">IF(H18=0,0,L18/H18)</f>
        <v>0</v>
      </c>
      <c r="O18" s="11"/>
      <c r="P18" s="22" cm="1">
        <f t="array" ref="P18">SUM(OSRRefP22x_0)</f>
        <v>372.9</v>
      </c>
      <c r="Q18" s="22"/>
      <c r="R18" s="33">
        <f t="shared" ref="R18:R24" si="4">IF(P$12=0,0,P18/P$12)</f>
        <v>0</v>
      </c>
      <c r="S18" s="22"/>
      <c r="T18" s="22" cm="1">
        <f t="array" ref="T18">SUM(OSRRefT22x_0)</f>
        <v>0</v>
      </c>
      <c r="U18" s="22"/>
      <c r="V18" s="33">
        <f t="shared" ref="V18:V24" si="5">IF(T$12=0,0,T18/T$12)</f>
        <v>0</v>
      </c>
      <c r="W18" s="5"/>
      <c r="X18" s="22">
        <f t="shared" ref="X18:X24" si="6">+P18-T18</f>
        <v>372.9</v>
      </c>
      <c r="Y18" s="5"/>
      <c r="Z18" s="33">
        <f t="shared" ref="Z18:Z24" si="7"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","Equipment Rental                                  ")</f>
        <v xml:space="preserve">     Equipment Rental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118.91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118.91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","6351"," - ","EQUIPMENT RENTAL")</f>
        <v xml:space="preserve">          6351 - EQUIPMENT RENTAL</v>
      </c>
      <c r="C20" s="12"/>
      <c r="D20" s="7"/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>
        <v>118.91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118.91</v>
      </c>
      <c r="Y20" s="3"/>
      <c r="Z20" s="8">
        <f t="shared" si="7"/>
        <v>0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253.99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253.99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>
        <v>253.99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253.99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+D16-D18+D26</f>
        <v>0</v>
      </c>
      <c r="E28" s="15"/>
      <c r="F28" s="23">
        <f>IF(D$12=0,0,D28/D$12)</f>
        <v>0</v>
      </c>
      <c r="G28" s="15"/>
      <c r="H28" s="21">
        <f>+H16-H18+H26</f>
        <v>0</v>
      </c>
      <c r="I28" s="15"/>
      <c r="J28" s="23">
        <f>IF(H$12=0,0,H28/H$12)</f>
        <v>0</v>
      </c>
      <c r="K28" s="17"/>
      <c r="L28" s="21">
        <f>+D28-H28</f>
        <v>0</v>
      </c>
      <c r="M28" s="17"/>
      <c r="N28" s="23">
        <f>IF(H28=0,0,L28/H28)</f>
        <v>0</v>
      </c>
      <c r="O28" s="28"/>
      <c r="P28" s="21">
        <f>+P16-P18+P26</f>
        <v>-372.9</v>
      </c>
      <c r="Q28" s="15"/>
      <c r="R28" s="23">
        <f>IF(P$12=0,0,P28/P$12)</f>
        <v>0</v>
      </c>
      <c r="S28" s="15"/>
      <c r="T28" s="21">
        <f>+T16-T18+T26</f>
        <v>0</v>
      </c>
      <c r="U28" s="15"/>
      <c r="V28" s="23">
        <f>IF(T$12=0,0,T28/T$12)</f>
        <v>0</v>
      </c>
      <c r="W28" s="17"/>
      <c r="X28" s="21">
        <f>+P28-T28</f>
        <v>-372.9</v>
      </c>
      <c r="Y28" s="17"/>
      <c r="Z28" s="23">
        <f>IF(T28=0,0,X28/T28)</f>
        <v>0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29">
        <f>+D28-D30</f>
        <v>0</v>
      </c>
      <c r="E32" s="15"/>
      <c r="F32" s="30">
        <f>IF(D$12=0,0,D32/D$12)</f>
        <v>0</v>
      </c>
      <c r="G32" s="15"/>
      <c r="H32" s="29">
        <f>+H28-H30</f>
        <v>0</v>
      </c>
      <c r="I32" s="15"/>
      <c r="J32" s="30">
        <f>IF(H$12=0,0,H32/H$12)</f>
        <v>0</v>
      </c>
      <c r="K32" s="17"/>
      <c r="L32" s="29">
        <f>D32-H32</f>
        <v>0</v>
      </c>
      <c r="M32" s="17"/>
      <c r="N32" s="30">
        <f>IF(H32=0,0,L32/H32)</f>
        <v>0</v>
      </c>
      <c r="O32" s="28"/>
      <c r="P32" s="29">
        <f>+P28-P30</f>
        <v>-372.9</v>
      </c>
      <c r="Q32" s="15"/>
      <c r="R32" s="30">
        <f>IF(P$12=0,0,P32/P$12)</f>
        <v>0</v>
      </c>
      <c r="S32" s="15"/>
      <c r="T32" s="29">
        <f>+T28-T30</f>
        <v>0</v>
      </c>
      <c r="U32" s="15"/>
      <c r="V32" s="30">
        <f>IF(T$12=0,0,T32/T$12)</f>
        <v>0</v>
      </c>
      <c r="W32" s="17"/>
      <c r="X32" s="29">
        <f>P32-T32</f>
        <v>-372.9</v>
      </c>
      <c r="Y32" s="17"/>
      <c r="Z32" s="30">
        <f>IF(T32=0,0,X32/T32)</f>
        <v>0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0</v>
      </c>
      <c r="E35" s="15"/>
      <c r="F35" s="34">
        <f>IF(D$12=0,0,D35/D$12)</f>
        <v>0</v>
      </c>
      <c r="G35" s="15"/>
      <c r="H35" s="32">
        <f>SUM(H32:H34)</f>
        <v>0</v>
      </c>
      <c r="I35" s="15"/>
      <c r="J35" s="34">
        <f>IF(H$12=0,0,H35/H$12)</f>
        <v>0</v>
      </c>
      <c r="K35" s="17"/>
      <c r="L35" s="32">
        <f>+D35-H35</f>
        <v>0</v>
      </c>
      <c r="M35" s="17"/>
      <c r="N35" s="34">
        <f>IF(H35=0,0,L35/H35)</f>
        <v>0</v>
      </c>
      <c r="O35" s="28"/>
      <c r="P35" s="32">
        <f>SUM(P32:P34)</f>
        <v>-372.9</v>
      </c>
      <c r="Q35" s="15"/>
      <c r="R35" s="34">
        <f>IF(P$12=0,0,P35/P$12)</f>
        <v>0</v>
      </c>
      <c r="S35" s="15"/>
      <c r="T35" s="32">
        <f>SUM(T32:T34)</f>
        <v>0</v>
      </c>
      <c r="U35" s="15"/>
      <c r="V35" s="34">
        <f>IF(T$12=0,0,T35/T$12)</f>
        <v>0</v>
      </c>
      <c r="W35" s="17"/>
      <c r="X35" s="32">
        <f>+P35-T35</f>
        <v>-372.9</v>
      </c>
      <c r="Y35" s="17"/>
      <c r="Z35" s="34">
        <f>IF(T35=0,0,X35/T35)</f>
        <v>0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6">
        <v>44694.888552430559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0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1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9735E-878F-18F6-65E7-F685160BD717}">
  <sheetPr>
    <tabColor rgb="FF92D05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","415"," - ","Outpost")</f>
        <v>Department 415 - Outpost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174866.5</v>
      </c>
      <c r="E12" s="5"/>
      <c r="F12" s="13"/>
      <c r="G12" s="5"/>
      <c r="H12" s="5">
        <f>SUM(OSRRefH13x_0)</f>
        <v>121790</v>
      </c>
      <c r="I12" s="5"/>
      <c r="J12" s="13"/>
      <c r="K12" s="5"/>
      <c r="L12" s="5">
        <f>+D12-H12</f>
        <v>53076.5</v>
      </c>
      <c r="M12" s="5"/>
      <c r="N12" s="13">
        <f>IF(H12=0,0,L12/H12)</f>
        <v>0.43580343213728551</v>
      </c>
      <c r="O12" s="11"/>
      <c r="P12" s="5">
        <f>SUM(OSRRefP13x_0)</f>
        <v>765443.13</v>
      </c>
      <c r="Q12" s="5"/>
      <c r="R12" s="13"/>
      <c r="S12" s="5"/>
      <c r="T12" s="5">
        <f>SUM(OSRRefT13x_0)</f>
        <v>573369</v>
      </c>
      <c r="U12" s="5"/>
      <c r="V12" s="13"/>
      <c r="W12" s="5"/>
      <c r="X12" s="5">
        <f>+P12-T12</f>
        <v>192074.13</v>
      </c>
      <c r="Y12" s="5"/>
      <c r="Z12" s="13">
        <f>IF(T12=0,0,X12/T12)</f>
        <v>0.33499217781219426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37880</v>
      </c>
      <c r="I13" s="3"/>
      <c r="J13" s="20"/>
      <c r="K13" s="3"/>
      <c r="L13" s="3">
        <f>+D13-H13</f>
        <v>-37880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178333</v>
      </c>
      <c r="U13" s="3"/>
      <c r="V13" s="20"/>
      <c r="W13" s="3"/>
      <c r="X13" s="3">
        <f>+P13-T13</f>
        <v>-178333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--48352.68</f>
        <v>48352.68</v>
      </c>
      <c r="E14" s="3"/>
      <c r="F14" s="20"/>
      <c r="G14" s="3"/>
      <c r="H14" s="3"/>
      <c r="I14" s="3"/>
      <c r="J14" s="20"/>
      <c r="K14" s="3"/>
      <c r="L14" s="3">
        <f>+D14-H14</f>
        <v>48352.68</v>
      </c>
      <c r="M14" s="3"/>
      <c r="N14" s="20">
        <f>IF(H14=0,0,L14/H14)</f>
        <v>0</v>
      </c>
      <c r="O14" s="12"/>
      <c r="P14" s="3">
        <f>--261544.87</f>
        <v>261544.87</v>
      </c>
      <c r="Q14" s="3"/>
      <c r="R14" s="20"/>
      <c r="S14" s="3"/>
      <c r="T14" s="3"/>
      <c r="U14" s="3"/>
      <c r="V14" s="20"/>
      <c r="W14" s="3"/>
      <c r="X14" s="3">
        <f>+P14-T14</f>
        <v>261544.87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83910</v>
      </c>
      <c r="I15" s="3"/>
      <c r="J15" s="20"/>
      <c r="K15" s="3"/>
      <c r="L15" s="3">
        <f>+D15-H15</f>
        <v>-83910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395036</v>
      </c>
      <c r="U15" s="3"/>
      <c r="V15" s="20"/>
      <c r="W15" s="3"/>
      <c r="X15" s="3">
        <f>+P15-T15</f>
        <v>-395036</v>
      </c>
      <c r="Y15" s="3"/>
      <c r="Z15" s="20">
        <f>IF(T15=0,0,X15/T15)</f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--126513.82</f>
        <v>126513.82</v>
      </c>
      <c r="E16" s="3"/>
      <c r="F16" s="20"/>
      <c r="G16" s="3"/>
      <c r="H16" s="3"/>
      <c r="I16" s="3"/>
      <c r="J16" s="20"/>
      <c r="K16" s="3"/>
      <c r="L16" s="3">
        <f>+D16-H16</f>
        <v>126513.82</v>
      </c>
      <c r="M16" s="3"/>
      <c r="N16" s="20">
        <f>IF(H16=0,0,L16/H16)</f>
        <v>0</v>
      </c>
      <c r="O16" s="12"/>
      <c r="P16" s="3">
        <f>--503898.26</f>
        <v>503898.26</v>
      </c>
      <c r="Q16" s="3"/>
      <c r="R16" s="20"/>
      <c r="S16" s="3"/>
      <c r="T16" s="3"/>
      <c r="U16" s="3"/>
      <c r="V16" s="20"/>
      <c r="W16" s="3"/>
      <c r="X16" s="3">
        <f>+P16-T16</f>
        <v>503898.26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42986.32</v>
      </c>
      <c r="E18" s="5"/>
      <c r="F18" s="13">
        <f>IF(D$12=0,0,D18/D$12)</f>
        <v>0.24582364260736048</v>
      </c>
      <c r="G18" s="5"/>
      <c r="H18" s="5">
        <f>SUM(OSRRefH16x_0)</f>
        <v>40191</v>
      </c>
      <c r="I18" s="5"/>
      <c r="J18" s="13">
        <f>IF(H$12=0,0,H18/H$12)</f>
        <v>0.33000246325642502</v>
      </c>
      <c r="K18" s="5"/>
      <c r="L18" s="5">
        <f>+D18-H18</f>
        <v>2795.3199999999997</v>
      </c>
      <c r="M18" s="5"/>
      <c r="N18" s="13">
        <f>IF(H18=0,0,L18/H18)</f>
        <v>6.9550894478863423E-2</v>
      </c>
      <c r="O18" s="11"/>
      <c r="P18" s="5">
        <f>SUM(OSRRefP16x_0)</f>
        <v>244350.18</v>
      </c>
      <c r="Q18" s="5"/>
      <c r="R18" s="13">
        <f>IF(P$12=0,0,P18/P$12)</f>
        <v>0.31922708614551154</v>
      </c>
      <c r="S18" s="5"/>
      <c r="T18" s="5">
        <f>SUM(OSRRefT16x_0)</f>
        <v>183777</v>
      </c>
      <c r="U18" s="5"/>
      <c r="V18" s="13">
        <f>IF(T$12=0,0,T18/T$12)</f>
        <v>0.32052133966084667</v>
      </c>
      <c r="W18" s="5"/>
      <c r="X18" s="5">
        <f>+P18-T18</f>
        <v>60573.179999999993</v>
      </c>
      <c r="Y18" s="5"/>
      <c r="Z18" s="13">
        <f>IF(T18=0,0,X18/T18)</f>
        <v>0.3296015279387518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40191</v>
      </c>
      <c r="I19" s="3"/>
      <c r="J19" s="20">
        <f>IF(H$12=0,0,H19/H$12)</f>
        <v>0.33000246325642502</v>
      </c>
      <c r="K19" s="3"/>
      <c r="L19" s="3">
        <f>+D19-H19</f>
        <v>-40191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183777</v>
      </c>
      <c r="U19" s="3"/>
      <c r="V19" s="20">
        <f>IF(T$12=0,0,T19/T$12)</f>
        <v>0.32052133966084667</v>
      </c>
      <c r="W19" s="3"/>
      <c r="X19" s="3">
        <f>+P19-T19</f>
        <v>-183777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46534.52</v>
      </c>
      <c r="E20" s="3"/>
      <c r="F20" s="20">
        <f>IF(D$12=0,0,D20/D$12)</f>
        <v>0.26611455024261366</v>
      </c>
      <c r="G20" s="3"/>
      <c r="H20" s="3"/>
      <c r="I20" s="3"/>
      <c r="J20" s="20">
        <f>IF(H$12=0,0,H20/H$12)</f>
        <v>0</v>
      </c>
      <c r="K20" s="3"/>
      <c r="L20" s="3">
        <f>+D20-H20</f>
        <v>46534.52</v>
      </c>
      <c r="M20" s="3"/>
      <c r="N20" s="20">
        <f>IF(H20=0,0,L20/H20)</f>
        <v>0</v>
      </c>
      <c r="O20" s="12"/>
      <c r="P20" s="3">
        <v>253355.15</v>
      </c>
      <c r="Q20" s="3"/>
      <c r="R20" s="20">
        <f>IF(P$12=0,0,P20/P$12)</f>
        <v>0.33099147418045283</v>
      </c>
      <c r="S20" s="3"/>
      <c r="T20" s="3"/>
      <c r="U20" s="3"/>
      <c r="V20" s="20">
        <f>IF(T$12=0,0,T20/T$12)</f>
        <v>0</v>
      </c>
      <c r="W20" s="3"/>
      <c r="X20" s="3">
        <f>+P20-T20</f>
        <v>253355.15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-3548.2</v>
      </c>
      <c r="E21" s="3"/>
      <c r="F21" s="20">
        <f>IF(D$12=0,0,D21/D$12)</f>
        <v>-2.0290907635253177E-2</v>
      </c>
      <c r="G21" s="3"/>
      <c r="H21" s="3"/>
      <c r="I21" s="3"/>
      <c r="J21" s="20">
        <f>IF(H$12=0,0,H21/H$12)</f>
        <v>0</v>
      </c>
      <c r="K21" s="3"/>
      <c r="L21" s="3">
        <f>+D21-H21</f>
        <v>-3548.2</v>
      </c>
      <c r="M21" s="3"/>
      <c r="N21" s="20">
        <f>IF(H21=0,0,L21/H21)</f>
        <v>0</v>
      </c>
      <c r="O21" s="12"/>
      <c r="P21" s="3">
        <v>-9004.9699999999993</v>
      </c>
      <c r="Q21" s="3"/>
      <c r="R21" s="20">
        <f>IF(P$12=0,0,P21/P$12)</f>
        <v>-1.1764388034941276E-2</v>
      </c>
      <c r="S21" s="3"/>
      <c r="T21" s="3"/>
      <c r="U21" s="3"/>
      <c r="V21" s="20">
        <f>IF(T$12=0,0,T21/T$12)</f>
        <v>0</v>
      </c>
      <c r="W21" s="3"/>
      <c r="X21" s="3">
        <f>+P21-T21</f>
        <v>-9004.9699999999993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131880.18</v>
      </c>
      <c r="E23" s="15"/>
      <c r="F23" s="23">
        <f>IF(D$12=0,0,D23/D$12)</f>
        <v>0.75417635739263944</v>
      </c>
      <c r="G23" s="15"/>
      <c r="H23" s="21">
        <f>H12-H18</f>
        <v>81599</v>
      </c>
      <c r="I23" s="15"/>
      <c r="J23" s="23">
        <f>IF(H$12=0,0,H23/H$12)</f>
        <v>0.66999753674357498</v>
      </c>
      <c r="K23" s="17"/>
      <c r="L23" s="21">
        <f>+D23-H23</f>
        <v>50281.179999999993</v>
      </c>
      <c r="M23" s="17"/>
      <c r="N23" s="23">
        <f>IF(H23=0,0,L23/H23)</f>
        <v>0.61619848282454437</v>
      </c>
      <c r="O23" s="28"/>
      <c r="P23" s="21">
        <f>P12-P18</f>
        <v>521092.95</v>
      </c>
      <c r="Q23" s="15"/>
      <c r="R23" s="23">
        <f>IF(P$12=0,0,P23/P$12)</f>
        <v>0.68077291385448846</v>
      </c>
      <c r="S23" s="15"/>
      <c r="T23" s="21">
        <f>T12-T18</f>
        <v>389592</v>
      </c>
      <c r="U23" s="15"/>
      <c r="V23" s="23">
        <f>IF(T$12=0,0,T23/T$12)</f>
        <v>0.67947866033915327</v>
      </c>
      <c r="W23" s="17"/>
      <c r="X23" s="21">
        <f>+P23-T23</f>
        <v>131500.95000000001</v>
      </c>
      <c r="Y23" s="17"/>
      <c r="Z23" s="23">
        <f>IF(T23=0,0,X23/T23)</f>
        <v>0.33753503665373008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104849.36999999998</v>
      </c>
      <c r="E25" s="22"/>
      <c r="F25" s="33">
        <f t="shared" ref="F25:F56" si="0">IF(D$12=0,0,D25/D$12)</f>
        <v>0.59959666374062492</v>
      </c>
      <c r="G25" s="22"/>
      <c r="H25" s="22" cm="1">
        <f t="array" ref="H25">SUM(OSRRefH22x_0)</f>
        <v>72260.447639948688</v>
      </c>
      <c r="I25" s="22"/>
      <c r="J25" s="33">
        <f t="shared" ref="J25:J56" si="1">IF(H$12=0,0,H25/H$12)</f>
        <v>0.59332003974011571</v>
      </c>
      <c r="K25" s="5"/>
      <c r="L25" s="22">
        <f t="shared" ref="L25:L56" si="2">+D25-H25</f>
        <v>32588.922360051292</v>
      </c>
      <c r="M25" s="5"/>
      <c r="N25" s="33">
        <f t="shared" ref="N25:N56" si="3">IF(H25=0,0,L25/H25)</f>
        <v>0.4509925335977954</v>
      </c>
      <c r="O25" s="11"/>
      <c r="P25" s="22" cm="1">
        <f t="array" ref="P25">SUM(OSRRefP22x_0)</f>
        <v>801764.90000000014</v>
      </c>
      <c r="Q25" s="22"/>
      <c r="R25" s="33">
        <f t="shared" ref="R25:R56" si="4">IF(P$12=0,0,P25/P$12)</f>
        <v>1.0474519511331954</v>
      </c>
      <c r="S25" s="22"/>
      <c r="T25" s="22" cm="1">
        <f t="array" ref="T25">SUM(OSRRefT22x_0)</f>
        <v>589863.2508938181</v>
      </c>
      <c r="U25" s="22"/>
      <c r="V25" s="33">
        <f t="shared" ref="V25:V56" si="5">IF(T$12=0,0,T25/T$12)</f>
        <v>1.0287672526659413</v>
      </c>
      <c r="W25" s="5"/>
      <c r="X25" s="22">
        <f t="shared" ref="X25:X56" si="6">+P25-T25</f>
        <v>211901.64910618204</v>
      </c>
      <c r="Y25" s="5"/>
      <c r="Z25" s="33">
        <f t="shared" ref="Z25:Z56" si="7">IF(T25=0,0,X25/T25)</f>
        <v>0.35923860112507106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12163.599999999999</v>
      </c>
      <c r="E26" s="2"/>
      <c r="F26" s="6">
        <f t="shared" si="0"/>
        <v>6.9559349560950778E-2</v>
      </c>
      <c r="G26" s="2"/>
      <c r="H26" s="2">
        <f>SUM(OSRRefH22_0x_0)</f>
        <v>7987.0964249486906</v>
      </c>
      <c r="I26" s="2"/>
      <c r="J26" s="6">
        <f t="shared" si="1"/>
        <v>6.5580888619334018E-2</v>
      </c>
      <c r="K26" s="2"/>
      <c r="L26" s="2">
        <f t="shared" si="2"/>
        <v>4176.503575051308</v>
      </c>
      <c r="M26" s="2"/>
      <c r="N26" s="6">
        <f t="shared" si="3"/>
        <v>0.52290636707545923</v>
      </c>
      <c r="O26" s="14"/>
      <c r="P26" s="2">
        <f>SUM(OSRRefP22_0x_0)</f>
        <v>127277.33</v>
      </c>
      <c r="Q26" s="2"/>
      <c r="R26" s="6">
        <f t="shared" si="4"/>
        <v>0.16627927668512749</v>
      </c>
      <c r="S26" s="2"/>
      <c r="T26" s="2">
        <f>SUM(OSRRefT22_0x_0)</f>
        <v>65773.129113818111</v>
      </c>
      <c r="U26" s="2"/>
      <c r="V26" s="6">
        <f t="shared" si="5"/>
        <v>0.1147134377927968</v>
      </c>
      <c r="W26" s="2"/>
      <c r="X26" s="2">
        <f t="shared" si="6"/>
        <v>61504.20088618189</v>
      </c>
      <c r="Y26" s="2"/>
      <c r="Z26" s="6">
        <f t="shared" si="7"/>
        <v>0.9350961663957178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3339.89</v>
      </c>
      <c r="E27" s="3"/>
      <c r="F27" s="8">
        <f t="shared" si="0"/>
        <v>1.9099656023309208E-2</v>
      </c>
      <c r="G27" s="3"/>
      <c r="H27" s="7">
        <v>1215.7494346410001</v>
      </c>
      <c r="I27" s="3"/>
      <c r="J27" s="8">
        <f t="shared" si="1"/>
        <v>9.9823420202069142E-3</v>
      </c>
      <c r="K27" s="3"/>
      <c r="L27" s="7">
        <f t="shared" si="2"/>
        <v>2124.140565359</v>
      </c>
      <c r="M27" s="3"/>
      <c r="N27" s="8">
        <f t="shared" si="3"/>
        <v>1.7471861428306892</v>
      </c>
      <c r="O27" s="12"/>
      <c r="P27" s="7">
        <v>19210.75</v>
      </c>
      <c r="Q27" s="3"/>
      <c r="R27" s="8">
        <f t="shared" si="4"/>
        <v>2.5097553622305029E-2</v>
      </c>
      <c r="S27" s="3"/>
      <c r="T27" s="7">
        <v>9442.0810239719995</v>
      </c>
      <c r="U27" s="3"/>
      <c r="V27" s="8">
        <f t="shared" si="5"/>
        <v>1.6467721526577123E-2</v>
      </c>
      <c r="W27" s="3"/>
      <c r="X27" s="7">
        <f t="shared" si="6"/>
        <v>9768.6689760280005</v>
      </c>
      <c r="Y27" s="3"/>
      <c r="Z27" s="8">
        <f t="shared" si="7"/>
        <v>1.0345885564026451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1487.34</v>
      </c>
      <c r="E28" s="3"/>
      <c r="F28" s="8">
        <f t="shared" si="0"/>
        <v>8.5055742523582265E-3</v>
      </c>
      <c r="G28" s="3"/>
      <c r="H28" s="7">
        <v>1021.98239513</v>
      </c>
      <c r="I28" s="3"/>
      <c r="J28" s="8">
        <f t="shared" si="1"/>
        <v>8.3913490034485585E-3</v>
      </c>
      <c r="K28" s="3"/>
      <c r="L28" s="7">
        <f t="shared" si="2"/>
        <v>465.35760486999993</v>
      </c>
      <c r="M28" s="3"/>
      <c r="N28" s="8">
        <f t="shared" si="3"/>
        <v>0.455347965960612</v>
      </c>
      <c r="O28" s="12"/>
      <c r="P28" s="7">
        <v>10671.14</v>
      </c>
      <c r="Q28" s="3"/>
      <c r="R28" s="8">
        <f t="shared" si="4"/>
        <v>1.3941127148139665E-2</v>
      </c>
      <c r="S28" s="3"/>
      <c r="T28" s="7">
        <v>6702.6745939599996</v>
      </c>
      <c r="U28" s="3"/>
      <c r="V28" s="8">
        <f t="shared" si="5"/>
        <v>1.1689984275327057E-2</v>
      </c>
      <c r="W28" s="3"/>
      <c r="X28" s="7">
        <f t="shared" si="6"/>
        <v>3968.4654060399998</v>
      </c>
      <c r="Y28" s="3"/>
      <c r="Z28" s="8">
        <f t="shared" si="7"/>
        <v>0.59207191851684315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4330.21</v>
      </c>
      <c r="E29" s="3"/>
      <c r="F29" s="8">
        <f t="shared" si="0"/>
        <v>2.476294773441454E-2</v>
      </c>
      <c r="G29" s="3"/>
      <c r="H29" s="7">
        <v>4166.90769230769</v>
      </c>
      <c r="I29" s="3"/>
      <c r="J29" s="8">
        <f t="shared" si="1"/>
        <v>3.4213873818110599E-2</v>
      </c>
      <c r="K29" s="3"/>
      <c r="L29" s="7">
        <f t="shared" si="2"/>
        <v>163.30230769231002</v>
      </c>
      <c r="M29" s="3"/>
      <c r="N29" s="8">
        <f t="shared" si="3"/>
        <v>3.9190286838792679E-2</v>
      </c>
      <c r="O29" s="12"/>
      <c r="P29" s="7">
        <v>60092.91</v>
      </c>
      <c r="Q29" s="3"/>
      <c r="R29" s="8">
        <f t="shared" si="4"/>
        <v>7.8507347763379892E-2</v>
      </c>
      <c r="S29" s="3"/>
      <c r="T29" s="7">
        <v>36468.046153846102</v>
      </c>
      <c r="U29" s="3"/>
      <c r="V29" s="8">
        <f t="shared" si="5"/>
        <v>6.3603100540570043E-2</v>
      </c>
      <c r="W29" s="3"/>
      <c r="X29" s="7">
        <f t="shared" si="6"/>
        <v>23624.863846153901</v>
      </c>
      <c r="Y29" s="3"/>
      <c r="Z29" s="8">
        <f t="shared" si="7"/>
        <v>0.64782367957111697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107.42</v>
      </c>
      <c r="E30" s="3"/>
      <c r="F30" s="8">
        <f t="shared" si="0"/>
        <v>6.1429719242965346E-4</v>
      </c>
      <c r="G30" s="3"/>
      <c r="H30" s="7">
        <v>56.626992870000002</v>
      </c>
      <c r="I30" s="3"/>
      <c r="J30" s="8">
        <f t="shared" si="1"/>
        <v>4.6495601338369328E-4</v>
      </c>
      <c r="K30" s="3"/>
      <c r="L30" s="7">
        <f t="shared" si="2"/>
        <v>50.793007129999999</v>
      </c>
      <c r="M30" s="3"/>
      <c r="N30" s="8">
        <f t="shared" si="3"/>
        <v>0.89697518013373534</v>
      </c>
      <c r="O30" s="12"/>
      <c r="P30" s="7">
        <v>770.7</v>
      </c>
      <c r="Q30" s="3"/>
      <c r="R30" s="8">
        <f t="shared" si="4"/>
        <v>1.0068677473138992E-3</v>
      </c>
      <c r="S30" s="3"/>
      <c r="T30" s="7">
        <v>371.38830203999999</v>
      </c>
      <c r="U30" s="3"/>
      <c r="V30" s="8">
        <f t="shared" si="5"/>
        <v>6.4772999942445443E-4</v>
      </c>
      <c r="W30" s="3"/>
      <c r="X30" s="7">
        <f t="shared" si="6"/>
        <v>399.31169796000006</v>
      </c>
      <c r="Y30" s="3"/>
      <c r="Z30" s="8">
        <f t="shared" si="7"/>
        <v>1.0751865251722241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418.42</v>
      </c>
      <c r="E31" s="3"/>
      <c r="F31" s="8">
        <f t="shared" si="0"/>
        <v>2.3927967906946157E-3</v>
      </c>
      <c r="G31" s="3"/>
      <c r="H31" s="7">
        <v>546.87077499999998</v>
      </c>
      <c r="I31" s="3"/>
      <c r="J31" s="8">
        <f t="shared" si="1"/>
        <v>4.4902765005337053E-3</v>
      </c>
      <c r="K31" s="3"/>
      <c r="L31" s="7">
        <f t="shared" si="2"/>
        <v>-128.45077499999996</v>
      </c>
      <c r="M31" s="3"/>
      <c r="N31" s="8">
        <f t="shared" si="3"/>
        <v>-0.23488323178359635</v>
      </c>
      <c r="O31" s="12"/>
      <c r="P31" s="7">
        <v>7330.11</v>
      </c>
      <c r="Q31" s="3"/>
      <c r="R31" s="8">
        <f t="shared" si="4"/>
        <v>9.576296020842201E-3</v>
      </c>
      <c r="S31" s="3"/>
      <c r="T31" s="7">
        <v>4812.4628199999997</v>
      </c>
      <c r="U31" s="3"/>
      <c r="V31" s="8">
        <f t="shared" si="5"/>
        <v>8.3933083581428352E-3</v>
      </c>
      <c r="W31" s="3"/>
      <c r="X31" s="7">
        <f t="shared" si="6"/>
        <v>2517.6471799999999</v>
      </c>
      <c r="Y31" s="3"/>
      <c r="Z31" s="8">
        <f t="shared" si="7"/>
        <v>0.52315150769310259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56.4</v>
      </c>
      <c r="E33" s="3"/>
      <c r="F33" s="8">
        <f t="shared" si="0"/>
        <v>3.2253175994258475E-4</v>
      </c>
      <c r="G33" s="3"/>
      <c r="H33" s="7"/>
      <c r="I33" s="3"/>
      <c r="J33" s="8">
        <f t="shared" si="1"/>
        <v>0</v>
      </c>
      <c r="K33" s="3"/>
      <c r="L33" s="7">
        <f t="shared" si="2"/>
        <v>56.4</v>
      </c>
      <c r="M33" s="3"/>
      <c r="N33" s="8">
        <f t="shared" si="3"/>
        <v>0</v>
      </c>
      <c r="O33" s="12"/>
      <c r="P33" s="7">
        <v>192.92</v>
      </c>
      <c r="Q33" s="3"/>
      <c r="R33" s="8">
        <f t="shared" si="4"/>
        <v>2.5203701286077255E-4</v>
      </c>
      <c r="S33" s="3"/>
      <c r="T33" s="7"/>
      <c r="U33" s="3"/>
      <c r="V33" s="8">
        <f t="shared" si="5"/>
        <v>0</v>
      </c>
      <c r="W33" s="3"/>
      <c r="X33" s="7">
        <f t="shared" si="6"/>
        <v>192.92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947.34</v>
      </c>
      <c r="E34" s="3"/>
      <c r="F34" s="8">
        <f t="shared" si="0"/>
        <v>5.4175042103547563E-3</v>
      </c>
      <c r="G34" s="3"/>
      <c r="H34" s="7">
        <v>310.73009100000002</v>
      </c>
      <c r="I34" s="3"/>
      <c r="J34" s="8">
        <f t="shared" si="1"/>
        <v>2.5513596436489041E-3</v>
      </c>
      <c r="K34" s="3"/>
      <c r="L34" s="7">
        <f t="shared" si="2"/>
        <v>636.60990900000002</v>
      </c>
      <c r="M34" s="3"/>
      <c r="N34" s="8">
        <f t="shared" si="3"/>
        <v>2.0487552620064724</v>
      </c>
      <c r="O34" s="12"/>
      <c r="P34" s="7">
        <v>11891.38</v>
      </c>
      <c r="Q34" s="3"/>
      <c r="R34" s="8">
        <f t="shared" si="4"/>
        <v>1.5535288689572534E-2</v>
      </c>
      <c r="S34" s="3"/>
      <c r="T34" s="7">
        <v>2593.4703720000002</v>
      </c>
      <c r="U34" s="3"/>
      <c r="V34" s="8">
        <f t="shared" si="5"/>
        <v>4.5232134489307935E-3</v>
      </c>
      <c r="W34" s="3"/>
      <c r="X34" s="7">
        <f t="shared" si="6"/>
        <v>9297.9096279999994</v>
      </c>
      <c r="Y34" s="3"/>
      <c r="Z34" s="8">
        <f t="shared" si="7"/>
        <v>3.5851227484159587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843.29</v>
      </c>
      <c r="E35" s="3"/>
      <c r="F35" s="8">
        <f t="shared" si="0"/>
        <v>4.8224788624464943E-3</v>
      </c>
      <c r="G35" s="3"/>
      <c r="H35" s="7">
        <v>373.22904399999999</v>
      </c>
      <c r="I35" s="3"/>
      <c r="J35" s="8">
        <f t="shared" si="1"/>
        <v>3.0645294687576975E-3</v>
      </c>
      <c r="K35" s="3"/>
      <c r="L35" s="7">
        <f t="shared" si="2"/>
        <v>470.06095599999998</v>
      </c>
      <c r="M35" s="3"/>
      <c r="N35" s="8">
        <f t="shared" si="3"/>
        <v>1.2594436675190797</v>
      </c>
      <c r="O35" s="12"/>
      <c r="P35" s="7">
        <v>9786.2199999999993</v>
      </c>
      <c r="Q35" s="3"/>
      <c r="R35" s="8">
        <f t="shared" si="4"/>
        <v>1.2785038648135752E-2</v>
      </c>
      <c r="S35" s="3"/>
      <c r="T35" s="7">
        <v>2633.0058479999998</v>
      </c>
      <c r="U35" s="3"/>
      <c r="V35" s="8">
        <f t="shared" si="5"/>
        <v>4.5921663849981418E-3</v>
      </c>
      <c r="W35" s="3"/>
      <c r="X35" s="7">
        <f t="shared" si="6"/>
        <v>7153.2141519999996</v>
      </c>
      <c r="Y35" s="3"/>
      <c r="Z35" s="8">
        <f t="shared" si="7"/>
        <v>2.7167482964132028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633.29</v>
      </c>
      <c r="E36" s="3"/>
      <c r="F36" s="8">
        <f t="shared" si="0"/>
        <v>3.6215627350007005E-3</v>
      </c>
      <c r="G36" s="3"/>
      <c r="H36" s="7">
        <v>295</v>
      </c>
      <c r="I36" s="3"/>
      <c r="J36" s="8">
        <f t="shared" si="1"/>
        <v>2.4222021512439445E-3</v>
      </c>
      <c r="K36" s="3"/>
      <c r="L36" s="7">
        <f t="shared" si="2"/>
        <v>338.28999999999996</v>
      </c>
      <c r="M36" s="3"/>
      <c r="N36" s="8">
        <f t="shared" si="3"/>
        <v>1.1467457627118642</v>
      </c>
      <c r="O36" s="12"/>
      <c r="P36" s="7">
        <v>7331.2</v>
      </c>
      <c r="Q36" s="3"/>
      <c r="R36" s="8">
        <f t="shared" si="4"/>
        <v>9.5777200325777301E-3</v>
      </c>
      <c r="S36" s="3"/>
      <c r="T36" s="7">
        <v>2750</v>
      </c>
      <c r="U36" s="3"/>
      <c r="V36" s="8">
        <f t="shared" si="5"/>
        <v>4.7962132588263403E-3</v>
      </c>
      <c r="W36" s="3"/>
      <c r="X36" s="7">
        <f t="shared" si="6"/>
        <v>4581.2</v>
      </c>
      <c r="Y36" s="3"/>
      <c r="Z36" s="8">
        <f t="shared" si="7"/>
        <v>1.6658909090909091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50875.67</v>
      </c>
      <c r="E37" s="2"/>
      <c r="F37" s="6">
        <f t="shared" si="0"/>
        <v>0.29094005998861988</v>
      </c>
      <c r="G37" s="2"/>
      <c r="H37" s="2">
        <f>SUM(OSRRefH22_1x_0)</f>
        <v>26447.351215000002</v>
      </c>
      <c r="I37" s="2"/>
      <c r="J37" s="6">
        <f t="shared" si="1"/>
        <v>0.21715535934805816</v>
      </c>
      <c r="K37" s="2"/>
      <c r="L37" s="2">
        <f t="shared" si="2"/>
        <v>24428.318784999996</v>
      </c>
      <c r="M37" s="2"/>
      <c r="N37" s="6">
        <f t="shared" si="3"/>
        <v>0.92365842561750067</v>
      </c>
      <c r="O37" s="14"/>
      <c r="P37" s="2">
        <f>SUM(OSRRefP22_1x_0)</f>
        <v>300106.77</v>
      </c>
      <c r="Q37" s="2"/>
      <c r="R37" s="6">
        <f t="shared" si="4"/>
        <v>0.3920693232951219</v>
      </c>
      <c r="S37" s="2"/>
      <c r="T37" s="2">
        <f>SUM(OSRRefT22_1x_0)</f>
        <v>172529.12177999999</v>
      </c>
      <c r="U37" s="2"/>
      <c r="V37" s="6">
        <f t="shared" si="5"/>
        <v>0.30090416778723644</v>
      </c>
      <c r="W37" s="2"/>
      <c r="X37" s="2">
        <f t="shared" si="6"/>
        <v>127577.64822000003</v>
      </c>
      <c r="Y37" s="2"/>
      <c r="Z37" s="6">
        <f t="shared" si="7"/>
        <v>0.73945573305983847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4725.1000000000004</v>
      </c>
      <c r="E39" s="3"/>
      <c r="F39" s="8">
        <f t="shared" si="0"/>
        <v>2.702118473235297E-2</v>
      </c>
      <c r="G39" s="3"/>
      <c r="H39" s="7">
        <v>6041.0143749999997</v>
      </c>
      <c r="I39" s="3"/>
      <c r="J39" s="8">
        <f t="shared" si="1"/>
        <v>4.9601891575663026E-2</v>
      </c>
      <c r="K39" s="3"/>
      <c r="L39" s="7">
        <f t="shared" si="2"/>
        <v>-1315.9143749999994</v>
      </c>
      <c r="M39" s="3"/>
      <c r="N39" s="8">
        <f t="shared" si="3"/>
        <v>-0.21783003537381906</v>
      </c>
      <c r="O39" s="12"/>
      <c r="P39" s="7">
        <v>78929.69</v>
      </c>
      <c r="Q39" s="3"/>
      <c r="R39" s="8">
        <f t="shared" si="4"/>
        <v>0.10311633471712001</v>
      </c>
      <c r="S39" s="3"/>
      <c r="T39" s="7">
        <v>53160.926500000001</v>
      </c>
      <c r="U39" s="3"/>
      <c r="V39" s="8">
        <f t="shared" si="5"/>
        <v>9.2716778374833664E-2</v>
      </c>
      <c r="W39" s="3"/>
      <c r="X39" s="7">
        <f t="shared" si="6"/>
        <v>25768.763500000001</v>
      </c>
      <c r="Y39" s="3"/>
      <c r="Z39" s="8">
        <f t="shared" si="7"/>
        <v>0.48473127156653301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15133.77</v>
      </c>
      <c r="E41" s="3"/>
      <c r="F41" s="8">
        <f t="shared" si="0"/>
        <v>8.6544706962168289E-2</v>
      </c>
      <c r="G41" s="3"/>
      <c r="H41" s="7">
        <v>9327.0218399999994</v>
      </c>
      <c r="I41" s="3"/>
      <c r="J41" s="8">
        <f t="shared" si="1"/>
        <v>7.6582821578126278E-2</v>
      </c>
      <c r="K41" s="3"/>
      <c r="L41" s="7">
        <f t="shared" si="2"/>
        <v>5806.748160000001</v>
      </c>
      <c r="M41" s="3"/>
      <c r="N41" s="8">
        <f t="shared" si="3"/>
        <v>0.62257259172451995</v>
      </c>
      <c r="O41" s="12"/>
      <c r="P41" s="7">
        <v>70775.44</v>
      </c>
      <c r="Q41" s="3"/>
      <c r="R41" s="8">
        <f t="shared" si="4"/>
        <v>9.2463355180939441E-2</v>
      </c>
      <c r="S41" s="3"/>
      <c r="T41" s="7">
        <v>65096.135280000002</v>
      </c>
      <c r="U41" s="3"/>
      <c r="V41" s="8">
        <f t="shared" si="5"/>
        <v>0.1135327080466506</v>
      </c>
      <c r="W41" s="3"/>
      <c r="X41" s="7">
        <f t="shared" si="6"/>
        <v>5679.3047200000001</v>
      </c>
      <c r="Y41" s="3"/>
      <c r="Z41" s="8">
        <f t="shared" si="7"/>
        <v>8.7244883211137381E-2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20499.03</v>
      </c>
      <c r="E42" s="3"/>
      <c r="F42" s="8">
        <f t="shared" si="0"/>
        <v>0.11722674154283409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20499.03</v>
      </c>
      <c r="M42" s="3"/>
      <c r="N42" s="8">
        <f t="shared" si="3"/>
        <v>0</v>
      </c>
      <c r="O42" s="12"/>
      <c r="P42" s="7">
        <v>83645.03</v>
      </c>
      <c r="Q42" s="3"/>
      <c r="R42" s="8">
        <f t="shared" si="4"/>
        <v>0.10927660948501818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83645.03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6695.96</v>
      </c>
      <c r="E44" s="3"/>
      <c r="F44" s="8">
        <f t="shared" si="0"/>
        <v>3.8291839774914009E-2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6695.96</v>
      </c>
      <c r="M44" s="3"/>
      <c r="N44" s="8">
        <f t="shared" si="3"/>
        <v>0</v>
      </c>
      <c r="O44" s="12"/>
      <c r="P44" s="7">
        <v>59699.68</v>
      </c>
      <c r="Q44" s="3"/>
      <c r="R44" s="8">
        <f t="shared" si="4"/>
        <v>7.7993619199378014E-2</v>
      </c>
      <c r="S44" s="3"/>
      <c r="T44" s="7">
        <v>798</v>
      </c>
      <c r="U44" s="3"/>
      <c r="V44" s="8">
        <f t="shared" si="5"/>
        <v>1.3917738838339709E-3</v>
      </c>
      <c r="W44" s="3"/>
      <c r="X44" s="7">
        <f t="shared" si="6"/>
        <v>58901.68</v>
      </c>
      <c r="Y44" s="3"/>
      <c r="Z44" s="8">
        <f t="shared" si="7"/>
        <v>73.811629072681711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3821.81</v>
      </c>
      <c r="E45" s="3"/>
      <c r="F45" s="8">
        <f t="shared" si="0"/>
        <v>2.1855586976350531E-2</v>
      </c>
      <c r="G45" s="3"/>
      <c r="H45" s="7">
        <v>11079.315000000001</v>
      </c>
      <c r="I45" s="3"/>
      <c r="J45" s="8">
        <f t="shared" si="1"/>
        <v>9.0970646194268825E-2</v>
      </c>
      <c r="K45" s="3"/>
      <c r="L45" s="7">
        <f t="shared" si="2"/>
        <v>-7257.505000000001</v>
      </c>
      <c r="M45" s="3"/>
      <c r="N45" s="8">
        <f t="shared" si="3"/>
        <v>-0.65504997375740293</v>
      </c>
      <c r="O45" s="12"/>
      <c r="P45" s="7">
        <v>7056.93</v>
      </c>
      <c r="Q45" s="3"/>
      <c r="R45" s="8">
        <f t="shared" si="4"/>
        <v>9.2194047126662442E-3</v>
      </c>
      <c r="S45" s="3"/>
      <c r="T45" s="7">
        <v>53474.06</v>
      </c>
      <c r="U45" s="3"/>
      <c r="V45" s="8">
        <f t="shared" si="5"/>
        <v>9.3262907481918275E-2</v>
      </c>
      <c r="W45" s="3"/>
      <c r="X45" s="7">
        <f t="shared" si="6"/>
        <v>-46417.13</v>
      </c>
      <c r="Y45" s="3"/>
      <c r="Z45" s="8">
        <f t="shared" si="7"/>
        <v>-0.86803077978369325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552.12</v>
      </c>
      <c r="E48" s="2"/>
      <c r="F48" s="6">
        <f t="shared" si="0"/>
        <v>3.1573800585017716E-3</v>
      </c>
      <c r="G48" s="2"/>
      <c r="H48" s="2">
        <f>SUM(OSRRefH22_2x_0)</f>
        <v>0</v>
      </c>
      <c r="I48" s="2"/>
      <c r="J48" s="6">
        <f t="shared" si="1"/>
        <v>0</v>
      </c>
      <c r="K48" s="2"/>
      <c r="L48" s="2">
        <f t="shared" si="2"/>
        <v>552.12</v>
      </c>
      <c r="M48" s="2"/>
      <c r="N48" s="6">
        <f t="shared" si="3"/>
        <v>0</v>
      </c>
      <c r="O48" s="14"/>
      <c r="P48" s="2">
        <f>SUM(OSRRefP22_2x_0)</f>
        <v>1571.81</v>
      </c>
      <c r="Q48" s="2"/>
      <c r="R48" s="6">
        <f t="shared" si="4"/>
        <v>2.0534641156162705E-3</v>
      </c>
      <c r="S48" s="2"/>
      <c r="T48" s="2">
        <f>SUM(OSRRefT22_2x_0)</f>
        <v>0</v>
      </c>
      <c r="U48" s="2"/>
      <c r="V48" s="6">
        <f t="shared" si="5"/>
        <v>0</v>
      </c>
      <c r="W48" s="2"/>
      <c r="X48" s="2">
        <f t="shared" si="6"/>
        <v>1571.81</v>
      </c>
      <c r="Y48" s="2"/>
      <c r="Z48" s="6">
        <f t="shared" si="7"/>
        <v>0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552.12</v>
      </c>
      <c r="E49" s="3"/>
      <c r="F49" s="8">
        <f t="shared" si="0"/>
        <v>3.1573800585017716E-3</v>
      </c>
      <c r="G49" s="3"/>
      <c r="H49" s="7"/>
      <c r="I49" s="3"/>
      <c r="J49" s="8">
        <f t="shared" si="1"/>
        <v>0</v>
      </c>
      <c r="K49" s="3"/>
      <c r="L49" s="7">
        <f t="shared" si="2"/>
        <v>552.12</v>
      </c>
      <c r="M49" s="3"/>
      <c r="N49" s="8">
        <f t="shared" si="3"/>
        <v>0</v>
      </c>
      <c r="O49" s="12"/>
      <c r="P49" s="7">
        <v>1571.81</v>
      </c>
      <c r="Q49" s="3"/>
      <c r="R49" s="8">
        <f t="shared" si="4"/>
        <v>2.0534641156162705E-3</v>
      </c>
      <c r="S49" s="3"/>
      <c r="T49" s="7"/>
      <c r="U49" s="3"/>
      <c r="V49" s="8">
        <f t="shared" si="5"/>
        <v>0</v>
      </c>
      <c r="W49" s="3"/>
      <c r="X49" s="7">
        <f t="shared" si="6"/>
        <v>1571.81</v>
      </c>
      <c r="Y49" s="3"/>
      <c r="Z49" s="8">
        <f t="shared" si="7"/>
        <v>0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10.18</v>
      </c>
      <c r="E50" s="2"/>
      <c r="F50" s="6">
        <f t="shared" si="0"/>
        <v>5.8215838939991361E-5</v>
      </c>
      <c r="G50" s="2"/>
      <c r="H50" s="2">
        <f>SUM(OSRRefH22_3x_0)</f>
        <v>10</v>
      </c>
      <c r="I50" s="2"/>
      <c r="J50" s="6">
        <f t="shared" si="1"/>
        <v>8.2108547499794735E-5</v>
      </c>
      <c r="K50" s="2"/>
      <c r="L50" s="2">
        <f t="shared" si="2"/>
        <v>0.17999999999999972</v>
      </c>
      <c r="M50" s="2"/>
      <c r="N50" s="6">
        <f t="shared" si="3"/>
        <v>1.7999999999999971E-2</v>
      </c>
      <c r="O50" s="14"/>
      <c r="P50" s="2">
        <f>SUM(OSRRefP22_3x_0)</f>
        <v>-3.55</v>
      </c>
      <c r="Q50" s="2"/>
      <c r="R50" s="6">
        <f t="shared" si="4"/>
        <v>-4.6378363863557042E-6</v>
      </c>
      <c r="S50" s="2"/>
      <c r="T50" s="2">
        <f>SUM(OSRRefT22_3x_0)</f>
        <v>70</v>
      </c>
      <c r="U50" s="2"/>
      <c r="V50" s="6">
        <f t="shared" si="5"/>
        <v>1.2208542840648866E-4</v>
      </c>
      <c r="W50" s="2"/>
      <c r="X50" s="2">
        <f t="shared" si="6"/>
        <v>-73.55</v>
      </c>
      <c r="Y50" s="2"/>
      <c r="Z50" s="6">
        <f t="shared" si="7"/>
        <v>-1.0507142857142857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>
        <v>10.18</v>
      </c>
      <c r="E51" s="3"/>
      <c r="F51" s="8">
        <f t="shared" si="0"/>
        <v>5.8215838939991361E-5</v>
      </c>
      <c r="G51" s="3"/>
      <c r="H51" s="7">
        <v>10</v>
      </c>
      <c r="I51" s="3"/>
      <c r="J51" s="8">
        <f t="shared" si="1"/>
        <v>8.2108547499794735E-5</v>
      </c>
      <c r="K51" s="3"/>
      <c r="L51" s="7">
        <f t="shared" si="2"/>
        <v>0.17999999999999972</v>
      </c>
      <c r="M51" s="3"/>
      <c r="N51" s="8">
        <f t="shared" si="3"/>
        <v>1.7999999999999971E-2</v>
      </c>
      <c r="O51" s="12"/>
      <c r="P51" s="7">
        <v>-3.55</v>
      </c>
      <c r="Q51" s="3"/>
      <c r="R51" s="8">
        <f t="shared" si="4"/>
        <v>-4.6378363863557042E-6</v>
      </c>
      <c r="S51" s="3"/>
      <c r="T51" s="7">
        <v>70</v>
      </c>
      <c r="U51" s="3"/>
      <c r="V51" s="8">
        <f t="shared" si="5"/>
        <v>1.2208542840648866E-4</v>
      </c>
      <c r="W51" s="3"/>
      <c r="X51" s="7">
        <f t="shared" si="6"/>
        <v>-73.55</v>
      </c>
      <c r="Y51" s="3"/>
      <c r="Z51" s="8">
        <f t="shared" si="7"/>
        <v>-1.0507142857142857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2972.14</v>
      </c>
      <c r="E52" s="2"/>
      <c r="F52" s="6">
        <f t="shared" si="0"/>
        <v>1.6996623138222585E-2</v>
      </c>
      <c r="G52" s="2"/>
      <c r="H52" s="2">
        <f>SUM(OSRRefH22_4x_0)</f>
        <v>6108</v>
      </c>
      <c r="I52" s="2"/>
      <c r="J52" s="6">
        <f t="shared" si="1"/>
        <v>5.0151900812874621E-2</v>
      </c>
      <c r="K52" s="2"/>
      <c r="L52" s="2">
        <f t="shared" si="2"/>
        <v>-3135.86</v>
      </c>
      <c r="M52" s="2"/>
      <c r="N52" s="6">
        <f t="shared" si="3"/>
        <v>-0.51340209561231176</v>
      </c>
      <c r="O52" s="14"/>
      <c r="P52" s="2">
        <f>SUM(OSRRefP22_4x_0)</f>
        <v>22448.31</v>
      </c>
      <c r="Q52" s="2"/>
      <c r="R52" s="6">
        <f t="shared" si="4"/>
        <v>2.932720814935004E-2</v>
      </c>
      <c r="S52" s="2"/>
      <c r="T52" s="2">
        <f>SUM(OSRRefT22_4x_0)</f>
        <v>28754</v>
      </c>
      <c r="U52" s="2"/>
      <c r="V52" s="6">
        <f t="shared" si="5"/>
        <v>5.0149205834288217E-2</v>
      </c>
      <c r="W52" s="2"/>
      <c r="X52" s="2">
        <f t="shared" si="6"/>
        <v>-6305.6899999999987</v>
      </c>
      <c r="Y52" s="2"/>
      <c r="Z52" s="6">
        <f t="shared" si="7"/>
        <v>-0.21929783682270287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2972.14</v>
      </c>
      <c r="E53" s="3"/>
      <c r="F53" s="8">
        <f t="shared" si="0"/>
        <v>1.6996623138222585E-2</v>
      </c>
      <c r="G53" s="3"/>
      <c r="H53" s="7">
        <v>6108</v>
      </c>
      <c r="I53" s="3"/>
      <c r="J53" s="8">
        <f t="shared" si="1"/>
        <v>5.0151900812874621E-2</v>
      </c>
      <c r="K53" s="3"/>
      <c r="L53" s="7">
        <f t="shared" si="2"/>
        <v>-3135.86</v>
      </c>
      <c r="M53" s="3"/>
      <c r="N53" s="8">
        <f t="shared" si="3"/>
        <v>-0.51340209561231176</v>
      </c>
      <c r="O53" s="12"/>
      <c r="P53" s="7">
        <v>22448.31</v>
      </c>
      <c r="Q53" s="3"/>
      <c r="R53" s="8">
        <f t="shared" si="4"/>
        <v>2.932720814935004E-2</v>
      </c>
      <c r="S53" s="3"/>
      <c r="T53" s="7">
        <v>28754</v>
      </c>
      <c r="U53" s="3"/>
      <c r="V53" s="8">
        <f t="shared" si="5"/>
        <v>5.0149205834288217E-2</v>
      </c>
      <c r="W53" s="3"/>
      <c r="X53" s="7">
        <f t="shared" si="6"/>
        <v>-6305.6899999999987</v>
      </c>
      <c r="Y53" s="3"/>
      <c r="Z53" s="8">
        <f t="shared" si="7"/>
        <v>-0.21929783682270287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14236.8</v>
      </c>
      <c r="E54" s="2"/>
      <c r="F54" s="6">
        <f t="shared" si="0"/>
        <v>8.1415251062953733E-2</v>
      </c>
      <c r="G54" s="2"/>
      <c r="H54" s="2">
        <f>SUM(OSRRefH22_5x_0)</f>
        <v>13902</v>
      </c>
      <c r="I54" s="2"/>
      <c r="J54" s="6">
        <f t="shared" si="1"/>
        <v>0.11414730273421463</v>
      </c>
      <c r="K54" s="2"/>
      <c r="L54" s="2">
        <f t="shared" si="2"/>
        <v>334.79999999999927</v>
      </c>
      <c r="M54" s="2"/>
      <c r="N54" s="6">
        <f t="shared" si="3"/>
        <v>2.4082865774708622E-2</v>
      </c>
      <c r="O54" s="14"/>
      <c r="P54" s="2">
        <f>SUM(OSRRefP22_5x_0)</f>
        <v>140302.86000000002</v>
      </c>
      <c r="Q54" s="2"/>
      <c r="R54" s="6">
        <f t="shared" si="4"/>
        <v>0.1832962561176818</v>
      </c>
      <c r="S54" s="2"/>
      <c r="T54" s="2">
        <f>SUM(OSRRefT22_5x_0)</f>
        <v>139020</v>
      </c>
      <c r="U54" s="2"/>
      <c r="V54" s="6">
        <f t="shared" si="5"/>
        <v>0.2424616608152865</v>
      </c>
      <c r="W54" s="2"/>
      <c r="X54" s="2">
        <f t="shared" si="6"/>
        <v>1282.8600000000151</v>
      </c>
      <c r="Y54" s="2"/>
      <c r="Z54" s="6">
        <f t="shared" si="7"/>
        <v>9.2278808804489645E-3</v>
      </c>
    </row>
    <row r="55" spans="1:26" s="70" customFormat="1" ht="15" hidden="1" customHeight="1" outlineLevel="2" x14ac:dyDescent="0.3">
      <c r="A55" s="26"/>
      <c r="B55" s="12" t="str">
        <f>CONCATENATE("          ","6321"," - ","BUILDING DEPRECIATION")</f>
        <v xml:space="preserve">          6321 - BUILDING DEPRECIATION</v>
      </c>
      <c r="C55" s="12"/>
      <c r="D55" s="7">
        <v>10597.26</v>
      </c>
      <c r="E55" s="3"/>
      <c r="F55" s="8">
        <f t="shared" si="0"/>
        <v>6.0602002098743897E-2</v>
      </c>
      <c r="G55" s="3"/>
      <c r="H55" s="7"/>
      <c r="I55" s="3"/>
      <c r="J55" s="8">
        <f t="shared" si="1"/>
        <v>0</v>
      </c>
      <c r="K55" s="3"/>
      <c r="L55" s="7">
        <f t="shared" si="2"/>
        <v>10597.26</v>
      </c>
      <c r="M55" s="3"/>
      <c r="N55" s="8">
        <f t="shared" si="3"/>
        <v>0</v>
      </c>
      <c r="O55" s="12"/>
      <c r="P55" s="7">
        <v>105972.6</v>
      </c>
      <c r="Q55" s="3"/>
      <c r="R55" s="8">
        <f t="shared" si="4"/>
        <v>0.13844607893992072</v>
      </c>
      <c r="S55" s="3"/>
      <c r="T55" s="7"/>
      <c r="U55" s="3"/>
      <c r="V55" s="8">
        <f t="shared" si="5"/>
        <v>0</v>
      </c>
      <c r="W55" s="3"/>
      <c r="X55" s="7">
        <f t="shared" si="6"/>
        <v>105972.6</v>
      </c>
      <c r="Y55" s="3"/>
      <c r="Z55" s="8">
        <f t="shared" si="7"/>
        <v>0</v>
      </c>
    </row>
    <row r="56" spans="1:26" s="70" customFormat="1" ht="15" hidden="1" customHeight="1" outlineLevel="2" x14ac:dyDescent="0.3">
      <c r="A56" s="26"/>
      <c r="B56" s="12" t="str">
        <f>CONCATENATE("          ","6322"," - ","EQUIPMENT DEPRECIATION EXPENSE")</f>
        <v xml:space="preserve">          6322 - EQUIPMENT DEPRECIATION EXPENSE</v>
      </c>
      <c r="C56" s="12"/>
      <c r="D56" s="7">
        <v>3639.54</v>
      </c>
      <c r="E56" s="3"/>
      <c r="F56" s="8">
        <f t="shared" si="0"/>
        <v>2.081324896420984E-2</v>
      </c>
      <c r="G56" s="3"/>
      <c r="H56" s="7">
        <v>13902</v>
      </c>
      <c r="I56" s="3"/>
      <c r="J56" s="8">
        <f t="shared" si="1"/>
        <v>0.11414730273421463</v>
      </c>
      <c r="K56" s="3"/>
      <c r="L56" s="7">
        <f t="shared" si="2"/>
        <v>-10262.459999999999</v>
      </c>
      <c r="M56" s="3"/>
      <c r="N56" s="8">
        <f t="shared" si="3"/>
        <v>-0.73820025895554586</v>
      </c>
      <c r="O56" s="12"/>
      <c r="P56" s="7">
        <v>34330.26</v>
      </c>
      <c r="Q56" s="3"/>
      <c r="R56" s="8">
        <f t="shared" si="4"/>
        <v>4.4850177177761075E-2</v>
      </c>
      <c r="S56" s="3"/>
      <c r="T56" s="7">
        <v>139020</v>
      </c>
      <c r="U56" s="3"/>
      <c r="V56" s="8">
        <f t="shared" si="5"/>
        <v>0.2424616608152865</v>
      </c>
      <c r="W56" s="3"/>
      <c r="X56" s="7">
        <f t="shared" si="6"/>
        <v>-104689.73999999999</v>
      </c>
      <c r="Y56" s="3"/>
      <c r="Z56" s="8">
        <f t="shared" si="7"/>
        <v>-0.75305524384980571</v>
      </c>
    </row>
    <row r="57" spans="1:26" s="69" customFormat="1" ht="15" customHeight="1" outlineLevel="1" collapsed="1" x14ac:dyDescent="0.3">
      <c r="A57" s="25"/>
      <c r="B57" s="14" t="str">
        <f>CONCATENATE("     ","Employees' Appreciation                           ")</f>
        <v xml:space="preserve">     Employees' Appreciation                           </v>
      </c>
      <c r="C57" s="14"/>
      <c r="D57" s="2">
        <f>SUM(OSRRefD22_6x_0)</f>
        <v>61.45</v>
      </c>
      <c r="E57" s="2"/>
      <c r="F57" s="6">
        <f t="shared" ref="F57:F92" si="8">IF(D$12=0,0,D57/D$12)</f>
        <v>3.514109334835432E-4</v>
      </c>
      <c r="G57" s="2"/>
      <c r="H57" s="2">
        <f>SUM(OSRRefH22_6x_0)</f>
        <v>0</v>
      </c>
      <c r="I57" s="2"/>
      <c r="J57" s="6">
        <f t="shared" ref="J57:J92" si="9">IF(H$12=0,0,H57/H$12)</f>
        <v>0</v>
      </c>
      <c r="K57" s="2"/>
      <c r="L57" s="2">
        <f t="shared" ref="L57:L92" si="10">+D57-H57</f>
        <v>61.45</v>
      </c>
      <c r="M57" s="2"/>
      <c r="N57" s="6">
        <f t="shared" ref="N57:N92" si="11">IF(H57=0,0,L57/H57)</f>
        <v>0</v>
      </c>
      <c r="O57" s="14"/>
      <c r="P57" s="2">
        <f>SUM(OSRRefP22_6x_0)</f>
        <v>61.45</v>
      </c>
      <c r="Q57" s="2"/>
      <c r="R57" s="6">
        <f t="shared" ref="R57:R92" si="12">IF(P$12=0,0,P57/P$12)</f>
        <v>8.0280294631424805E-5</v>
      </c>
      <c r="S57" s="2"/>
      <c r="T57" s="2">
        <f>SUM(OSRRefT22_6x_0)</f>
        <v>50</v>
      </c>
      <c r="U57" s="2"/>
      <c r="V57" s="6">
        <f t="shared" ref="V57:V92" si="13">IF(T$12=0,0,T57/T$12)</f>
        <v>8.7203877433206196E-5</v>
      </c>
      <c r="W57" s="2"/>
      <c r="X57" s="2">
        <f t="shared" ref="X57:X92" si="14">+P57-T57</f>
        <v>11.450000000000003</v>
      </c>
      <c r="Y57" s="2"/>
      <c r="Z57" s="6">
        <f t="shared" ref="Z57:Z92" si="15">IF(T57=0,0,X57/T57)</f>
        <v>0.22900000000000006</v>
      </c>
    </row>
    <row r="58" spans="1:26" s="70" customFormat="1" ht="15" hidden="1" customHeight="1" outlineLevel="2" x14ac:dyDescent="0.3">
      <c r="A58" s="26"/>
      <c r="B58" s="12" t="str">
        <f>CONCATENATE("          ","6277"," - ","EMPLOYEE APPRECIATION")</f>
        <v xml:space="preserve">          6277 - EMPLOYEE APPRECIATION</v>
      </c>
      <c r="C58" s="12"/>
      <c r="D58" s="7">
        <v>61.45</v>
      </c>
      <c r="E58" s="3"/>
      <c r="F58" s="8">
        <f t="shared" si="8"/>
        <v>3.514109334835432E-4</v>
      </c>
      <c r="G58" s="3"/>
      <c r="H58" s="7"/>
      <c r="I58" s="3"/>
      <c r="J58" s="8">
        <f t="shared" si="9"/>
        <v>0</v>
      </c>
      <c r="K58" s="3"/>
      <c r="L58" s="7">
        <f t="shared" si="10"/>
        <v>61.45</v>
      </c>
      <c r="M58" s="3"/>
      <c r="N58" s="8">
        <f t="shared" si="11"/>
        <v>0</v>
      </c>
      <c r="O58" s="12"/>
      <c r="P58" s="7">
        <v>61.45</v>
      </c>
      <c r="Q58" s="3"/>
      <c r="R58" s="8">
        <f t="shared" si="12"/>
        <v>8.0280294631424805E-5</v>
      </c>
      <c r="S58" s="3"/>
      <c r="T58" s="7">
        <v>50</v>
      </c>
      <c r="U58" s="3"/>
      <c r="V58" s="8">
        <f t="shared" si="13"/>
        <v>8.7203877433206196E-5</v>
      </c>
      <c r="W58" s="3"/>
      <c r="X58" s="7">
        <f t="shared" si="14"/>
        <v>11.450000000000003</v>
      </c>
      <c r="Y58" s="3"/>
      <c r="Z58" s="8">
        <f t="shared" si="15"/>
        <v>0.22900000000000006</v>
      </c>
    </row>
    <row r="59" spans="1:26" s="69" customFormat="1" ht="15" customHeight="1" outlineLevel="1" collapsed="1" x14ac:dyDescent="0.3">
      <c r="A59" s="25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SUM(OSRRefD22_7x_0)</f>
        <v>611.70000000000005</v>
      </c>
      <c r="E59" s="2"/>
      <c r="F59" s="6">
        <f t="shared" si="8"/>
        <v>3.4980971198028212E-3</v>
      </c>
      <c r="G59" s="2"/>
      <c r="H59" s="2">
        <f>SUM(OSRRefH22_7x_0)</f>
        <v>275</v>
      </c>
      <c r="I59" s="2"/>
      <c r="J59" s="6">
        <f t="shared" si="9"/>
        <v>2.2579850562443552E-3</v>
      </c>
      <c r="K59" s="2"/>
      <c r="L59" s="2">
        <f t="shared" si="10"/>
        <v>336.70000000000005</v>
      </c>
      <c r="M59" s="2"/>
      <c r="N59" s="6">
        <f t="shared" si="11"/>
        <v>1.2243636363636365</v>
      </c>
      <c r="O59" s="14"/>
      <c r="P59" s="2">
        <f>SUM(OSRRefP22_7x_0)</f>
        <v>3328.79</v>
      </c>
      <c r="Q59" s="2"/>
      <c r="R59" s="6">
        <f t="shared" si="12"/>
        <v>4.3488403900104246E-3</v>
      </c>
      <c r="S59" s="2"/>
      <c r="T59" s="2">
        <f>SUM(OSRRefT22_7x_0)</f>
        <v>2750</v>
      </c>
      <c r="U59" s="2"/>
      <c r="V59" s="6">
        <f t="shared" si="13"/>
        <v>4.7962132588263403E-3</v>
      </c>
      <c r="W59" s="2"/>
      <c r="X59" s="2">
        <f t="shared" si="14"/>
        <v>578.79</v>
      </c>
      <c r="Y59" s="2"/>
      <c r="Z59" s="6">
        <f t="shared" si="15"/>
        <v>0.21046909090909088</v>
      </c>
    </row>
    <row r="60" spans="1:26" s="70" customFormat="1" ht="15" hidden="1" customHeight="1" outlineLevel="2" x14ac:dyDescent="0.3">
      <c r="A60" s="26"/>
      <c r="B60" s="12" t="str">
        <f>CONCATENATE("          ","6351"," - ","EQUIPMENT RENTAL")</f>
        <v xml:space="preserve">          6351 - EQUIPMENT RENTAL</v>
      </c>
      <c r="C60" s="12"/>
      <c r="D60" s="7">
        <v>611.70000000000005</v>
      </c>
      <c r="E60" s="3"/>
      <c r="F60" s="8">
        <f t="shared" si="8"/>
        <v>3.4980971198028212E-3</v>
      </c>
      <c r="G60" s="3"/>
      <c r="H60" s="7">
        <v>275</v>
      </c>
      <c r="I60" s="3"/>
      <c r="J60" s="8">
        <f t="shared" si="9"/>
        <v>2.2579850562443552E-3</v>
      </c>
      <c r="K60" s="3"/>
      <c r="L60" s="7">
        <f t="shared" si="10"/>
        <v>336.70000000000005</v>
      </c>
      <c r="M60" s="3"/>
      <c r="N60" s="8">
        <f t="shared" si="11"/>
        <v>1.2243636363636365</v>
      </c>
      <c r="O60" s="12"/>
      <c r="P60" s="7">
        <v>3328.79</v>
      </c>
      <c r="Q60" s="3"/>
      <c r="R60" s="8">
        <f t="shared" si="12"/>
        <v>4.3488403900104246E-3</v>
      </c>
      <c r="S60" s="3"/>
      <c r="T60" s="7">
        <v>2750</v>
      </c>
      <c r="U60" s="3"/>
      <c r="V60" s="8">
        <f t="shared" si="13"/>
        <v>4.7962132588263403E-3</v>
      </c>
      <c r="W60" s="3"/>
      <c r="X60" s="7">
        <f t="shared" si="14"/>
        <v>578.79</v>
      </c>
      <c r="Y60" s="3"/>
      <c r="Z60" s="8">
        <f t="shared" si="15"/>
        <v>0.21046909090909088</v>
      </c>
    </row>
    <row r="61" spans="1:26" s="69" customFormat="1" ht="15" customHeight="1" outlineLevel="1" collapsed="1" x14ac:dyDescent="0.3">
      <c r="A61" s="25"/>
      <c r="B61" s="14" t="str">
        <f>CONCATENATE("     ","General                                           ")</f>
        <v xml:space="preserve">     General                                           </v>
      </c>
      <c r="C61" s="14"/>
      <c r="D61" s="2">
        <f>SUM(OSRRefD22_8x_0)</f>
        <v>0</v>
      </c>
      <c r="E61" s="2"/>
      <c r="F61" s="6">
        <f t="shared" si="8"/>
        <v>0</v>
      </c>
      <c r="G61" s="2"/>
      <c r="H61" s="2">
        <f>SUM(OSRRefH22_8x_0)</f>
        <v>0</v>
      </c>
      <c r="I61" s="2"/>
      <c r="J61" s="6">
        <f t="shared" si="9"/>
        <v>0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SUM(OSRRefP22_8x_0)</f>
        <v>1575.57</v>
      </c>
      <c r="Q61" s="2"/>
      <c r="R61" s="6">
        <f t="shared" si="12"/>
        <v>2.0583763028874527E-3</v>
      </c>
      <c r="S61" s="2"/>
      <c r="T61" s="2">
        <f>SUM(OSRRefT22_8x_0)</f>
        <v>1790</v>
      </c>
      <c r="U61" s="2"/>
      <c r="V61" s="6">
        <f t="shared" si="13"/>
        <v>3.1218988121087818E-3</v>
      </c>
      <c r="W61" s="2"/>
      <c r="X61" s="2">
        <f t="shared" si="14"/>
        <v>-214.43000000000006</v>
      </c>
      <c r="Y61" s="2"/>
      <c r="Z61" s="6">
        <f t="shared" si="15"/>
        <v>-0.11979329608938551</v>
      </c>
    </row>
    <row r="62" spans="1:26" s="70" customFormat="1" ht="15" hidden="1" customHeight="1" outlineLevel="2" x14ac:dyDescent="0.3">
      <c r="A62" s="26"/>
      <c r="B62" s="12" t="str">
        <f>CONCATENATE("          ","6279"," - ","GENERAL EXPENSE")</f>
        <v xml:space="preserve">          6279 - GENERAL EXPENSE</v>
      </c>
      <c r="C62" s="12"/>
      <c r="D62" s="7">
        <v>0</v>
      </c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1575.57</v>
      </c>
      <c r="Q62" s="3"/>
      <c r="R62" s="8">
        <f t="shared" si="12"/>
        <v>2.0583763028874527E-3</v>
      </c>
      <c r="S62" s="3"/>
      <c r="T62" s="7">
        <v>1790</v>
      </c>
      <c r="U62" s="3"/>
      <c r="V62" s="8">
        <f t="shared" si="13"/>
        <v>3.1218988121087818E-3</v>
      </c>
      <c r="W62" s="3"/>
      <c r="X62" s="7">
        <f t="shared" si="14"/>
        <v>-214.43000000000006</v>
      </c>
      <c r="Y62" s="3"/>
      <c r="Z62" s="8">
        <f t="shared" si="15"/>
        <v>-0.11979329608938551</v>
      </c>
    </row>
    <row r="63" spans="1:26" s="69" customFormat="1" ht="15" customHeight="1" outlineLevel="1" collapsed="1" x14ac:dyDescent="0.3">
      <c r="A63" s="25"/>
      <c r="B63" s="14" t="str">
        <f>CONCATENATE("     ","Insurance                                         ")</f>
        <v xml:space="preserve">     Insurance                                         </v>
      </c>
      <c r="C63" s="14"/>
      <c r="D63" s="2">
        <f>SUM(OSRRefD22_9x_0)</f>
        <v>871.61</v>
      </c>
      <c r="E63" s="2"/>
      <c r="F63" s="6">
        <f t="shared" si="8"/>
        <v>4.9844309802048996E-3</v>
      </c>
      <c r="G63" s="2"/>
      <c r="H63" s="2">
        <f>SUM(OSRRefH22_9x_0)</f>
        <v>850</v>
      </c>
      <c r="I63" s="2"/>
      <c r="J63" s="6">
        <f t="shared" si="9"/>
        <v>6.9792265374825522E-3</v>
      </c>
      <c r="K63" s="2"/>
      <c r="L63" s="2">
        <f t="shared" si="10"/>
        <v>21.610000000000014</v>
      </c>
      <c r="M63" s="2"/>
      <c r="N63" s="6">
        <f t="shared" si="11"/>
        <v>2.5423529411764723E-2</v>
      </c>
      <c r="O63" s="14"/>
      <c r="P63" s="2">
        <f>SUM(OSRRefP22_9x_0)</f>
        <v>8716.1</v>
      </c>
      <c r="Q63" s="2"/>
      <c r="R63" s="6">
        <f t="shared" si="12"/>
        <v>1.1386998796370411E-2</v>
      </c>
      <c r="S63" s="2"/>
      <c r="T63" s="2">
        <f>SUM(OSRRefT22_9x_0)</f>
        <v>8500</v>
      </c>
      <c r="U63" s="2"/>
      <c r="V63" s="6">
        <f t="shared" si="13"/>
        <v>1.4824659163645053E-2</v>
      </c>
      <c r="W63" s="2"/>
      <c r="X63" s="2">
        <f t="shared" si="14"/>
        <v>216.10000000000036</v>
      </c>
      <c r="Y63" s="2"/>
      <c r="Z63" s="6">
        <f t="shared" si="15"/>
        <v>2.5423529411764748E-2</v>
      </c>
    </row>
    <row r="64" spans="1:26" s="70" customFormat="1" ht="15" hidden="1" customHeight="1" outlineLevel="2" x14ac:dyDescent="0.3">
      <c r="A64" s="26"/>
      <c r="B64" s="12" t="str">
        <f>CONCATENATE("          ","6314"," - ","LIABILITY INSURANCE")</f>
        <v xml:space="preserve">          6314 - LIABILITY INSURANCE</v>
      </c>
      <c r="C64" s="12"/>
      <c r="D64" s="7">
        <v>871.61</v>
      </c>
      <c r="E64" s="3"/>
      <c r="F64" s="8">
        <f t="shared" si="8"/>
        <v>4.9844309802048996E-3</v>
      </c>
      <c r="G64" s="3"/>
      <c r="H64" s="7">
        <v>850</v>
      </c>
      <c r="I64" s="3"/>
      <c r="J64" s="8">
        <f t="shared" si="9"/>
        <v>6.9792265374825522E-3</v>
      </c>
      <c r="K64" s="3"/>
      <c r="L64" s="7">
        <f t="shared" si="10"/>
        <v>21.610000000000014</v>
      </c>
      <c r="M64" s="3"/>
      <c r="N64" s="8">
        <f t="shared" si="11"/>
        <v>2.5423529411764723E-2</v>
      </c>
      <c r="O64" s="12"/>
      <c r="P64" s="7">
        <v>8716.1</v>
      </c>
      <c r="Q64" s="3"/>
      <c r="R64" s="8">
        <f t="shared" si="12"/>
        <v>1.1386998796370411E-2</v>
      </c>
      <c r="S64" s="3"/>
      <c r="T64" s="7">
        <v>8500</v>
      </c>
      <c r="U64" s="3"/>
      <c r="V64" s="8">
        <f t="shared" si="13"/>
        <v>1.4824659163645053E-2</v>
      </c>
      <c r="W64" s="3"/>
      <c r="X64" s="7">
        <f t="shared" si="14"/>
        <v>216.10000000000036</v>
      </c>
      <c r="Y64" s="3"/>
      <c r="Z64" s="8">
        <f t="shared" si="15"/>
        <v>2.5423529411764748E-2</v>
      </c>
    </row>
    <row r="65" spans="1:26" s="69" customFormat="1" ht="15" customHeight="1" outlineLevel="1" collapsed="1" x14ac:dyDescent="0.3">
      <c r="A65" s="25"/>
      <c r="B65" s="14" t="str">
        <f>CONCATENATE("     ","Interest                                          ")</f>
        <v xml:space="preserve">     Interest                                          </v>
      </c>
      <c r="C65" s="14"/>
      <c r="D65" s="2">
        <f>SUM(OSRRefD22_10x_0)</f>
        <v>5629</v>
      </c>
      <c r="E65" s="2"/>
      <c r="F65" s="6">
        <f t="shared" si="8"/>
        <v>3.219027086377322E-2</v>
      </c>
      <c r="G65" s="2"/>
      <c r="H65" s="2">
        <f>SUM(OSRRefH22_10x_0)</f>
        <v>7253</v>
      </c>
      <c r="I65" s="2"/>
      <c r="J65" s="6">
        <f t="shared" si="9"/>
        <v>5.9553329501601117E-2</v>
      </c>
      <c r="K65" s="2"/>
      <c r="L65" s="2">
        <f t="shared" si="10"/>
        <v>-1624</v>
      </c>
      <c r="M65" s="2"/>
      <c r="N65" s="6">
        <f t="shared" si="11"/>
        <v>-0.22390734868330345</v>
      </c>
      <c r="O65" s="14"/>
      <c r="P65" s="2">
        <f>SUM(OSRRefP22_10x_0)</f>
        <v>70392</v>
      </c>
      <c r="Q65" s="2"/>
      <c r="R65" s="6">
        <f t="shared" si="12"/>
        <v>9.1962416593901627E-2</v>
      </c>
      <c r="S65" s="2"/>
      <c r="T65" s="2">
        <f>SUM(OSRRefT22_10x_0)</f>
        <v>72530</v>
      </c>
      <c r="U65" s="2"/>
      <c r="V65" s="6">
        <f t="shared" si="13"/>
        <v>0.12649794460460889</v>
      </c>
      <c r="W65" s="2"/>
      <c r="X65" s="2">
        <f t="shared" si="14"/>
        <v>-2138</v>
      </c>
      <c r="Y65" s="2"/>
      <c r="Z65" s="6">
        <f t="shared" si="15"/>
        <v>-2.9477457603750173E-2</v>
      </c>
    </row>
    <row r="66" spans="1:26" s="70" customFormat="1" ht="15" hidden="1" customHeight="1" outlineLevel="2" x14ac:dyDescent="0.3">
      <c r="A66" s="26"/>
      <c r="B66" s="12" t="str">
        <f>CONCATENATE("          ","6401"," - ","INTEREST EXPENSE")</f>
        <v xml:space="preserve">          6401 - INTEREST EXPENSE</v>
      </c>
      <c r="C66" s="12"/>
      <c r="D66" s="7">
        <v>5629</v>
      </c>
      <c r="E66" s="3"/>
      <c r="F66" s="8">
        <f t="shared" si="8"/>
        <v>3.219027086377322E-2</v>
      </c>
      <c r="G66" s="3"/>
      <c r="H66" s="7">
        <v>7253</v>
      </c>
      <c r="I66" s="3"/>
      <c r="J66" s="8">
        <f t="shared" si="9"/>
        <v>5.9553329501601117E-2</v>
      </c>
      <c r="K66" s="3"/>
      <c r="L66" s="7">
        <f t="shared" si="10"/>
        <v>-1624</v>
      </c>
      <c r="M66" s="3"/>
      <c r="N66" s="8">
        <f t="shared" si="11"/>
        <v>-0.22390734868330345</v>
      </c>
      <c r="O66" s="12"/>
      <c r="P66" s="7">
        <v>70392</v>
      </c>
      <c r="Q66" s="3"/>
      <c r="R66" s="8">
        <f t="shared" si="12"/>
        <v>9.1962416593901627E-2</v>
      </c>
      <c r="S66" s="3"/>
      <c r="T66" s="7">
        <v>72530</v>
      </c>
      <c r="U66" s="3"/>
      <c r="V66" s="8">
        <f t="shared" si="13"/>
        <v>0.12649794460460889</v>
      </c>
      <c r="W66" s="3"/>
      <c r="X66" s="7">
        <f t="shared" si="14"/>
        <v>-2138</v>
      </c>
      <c r="Y66" s="3"/>
      <c r="Z66" s="8">
        <f t="shared" si="15"/>
        <v>-2.9477457603750173E-2</v>
      </c>
    </row>
    <row r="67" spans="1:26" s="69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5230.8900000000003</v>
      </c>
      <c r="E67" s="2"/>
      <c r="F67" s="6">
        <f t="shared" si="8"/>
        <v>2.9913619818547295E-2</v>
      </c>
      <c r="G67" s="2"/>
      <c r="H67" s="2">
        <f>SUM(OSRRefH22_11x_0)</f>
        <v>1317</v>
      </c>
      <c r="I67" s="2"/>
      <c r="J67" s="6">
        <f t="shared" si="9"/>
        <v>1.0813695705722966E-2</v>
      </c>
      <c r="K67" s="2"/>
      <c r="L67" s="2">
        <f t="shared" si="10"/>
        <v>3913.8900000000003</v>
      </c>
      <c r="M67" s="2"/>
      <c r="N67" s="6">
        <f t="shared" si="11"/>
        <v>2.971822323462415</v>
      </c>
      <c r="O67" s="14"/>
      <c r="P67" s="2">
        <f>SUM(OSRRefP22_11x_0)</f>
        <v>30347.120000000003</v>
      </c>
      <c r="Q67" s="2"/>
      <c r="R67" s="6">
        <f t="shared" si="12"/>
        <v>3.9646472494958576E-2</v>
      </c>
      <c r="S67" s="2"/>
      <c r="T67" s="2">
        <f>SUM(OSRRefT22_11x_0)</f>
        <v>9686</v>
      </c>
      <c r="U67" s="2"/>
      <c r="V67" s="6">
        <f t="shared" si="13"/>
        <v>1.6893135136360704E-2</v>
      </c>
      <c r="W67" s="2"/>
      <c r="X67" s="2">
        <f t="shared" si="14"/>
        <v>20661.120000000003</v>
      </c>
      <c r="Y67" s="2"/>
      <c r="Z67" s="6">
        <f t="shared" si="15"/>
        <v>2.133091059260789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>
        <v>-5.08</v>
      </c>
      <c r="E68" s="3"/>
      <c r="F68" s="8">
        <f t="shared" si="8"/>
        <v>-2.9050732987736359E-5</v>
      </c>
      <c r="G68" s="3"/>
      <c r="H68" s="7">
        <v>380</v>
      </c>
      <c r="I68" s="3"/>
      <c r="J68" s="8">
        <f t="shared" si="9"/>
        <v>3.1201248049921998E-3</v>
      </c>
      <c r="K68" s="3"/>
      <c r="L68" s="7">
        <f t="shared" si="10"/>
        <v>-385.08</v>
      </c>
      <c r="M68" s="3"/>
      <c r="N68" s="8">
        <f t="shared" si="11"/>
        <v>-1.0133684210526315</v>
      </c>
      <c r="O68" s="12"/>
      <c r="P68" s="7">
        <v>4148.51</v>
      </c>
      <c r="Q68" s="3"/>
      <c r="R68" s="8">
        <f t="shared" si="12"/>
        <v>5.4197494724395794E-3</v>
      </c>
      <c r="S68" s="3"/>
      <c r="T68" s="7">
        <v>3045</v>
      </c>
      <c r="U68" s="3"/>
      <c r="V68" s="8">
        <f t="shared" si="13"/>
        <v>5.3107161356822571E-3</v>
      </c>
      <c r="W68" s="3"/>
      <c r="X68" s="7">
        <f t="shared" si="14"/>
        <v>1103.5100000000002</v>
      </c>
      <c r="Y68" s="3"/>
      <c r="Z68" s="8">
        <f t="shared" si="15"/>
        <v>0.36240065681445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>
        <v>5235.97</v>
      </c>
      <c r="E69" s="3"/>
      <c r="F69" s="8">
        <f t="shared" si="8"/>
        <v>2.9942670551535031E-2</v>
      </c>
      <c r="G69" s="3"/>
      <c r="H69" s="7">
        <v>937</v>
      </c>
      <c r="I69" s="3"/>
      <c r="J69" s="8">
        <f t="shared" si="9"/>
        <v>7.6935709007307663E-3</v>
      </c>
      <c r="K69" s="3"/>
      <c r="L69" s="7">
        <f t="shared" si="10"/>
        <v>4298.97</v>
      </c>
      <c r="M69" s="3"/>
      <c r="N69" s="8">
        <f t="shared" si="11"/>
        <v>4.5880149413020277</v>
      </c>
      <c r="O69" s="12"/>
      <c r="P69" s="7">
        <v>26198.61</v>
      </c>
      <c r="Q69" s="3"/>
      <c r="R69" s="8">
        <f t="shared" si="12"/>
        <v>3.4226723022518994E-2</v>
      </c>
      <c r="S69" s="3"/>
      <c r="T69" s="7">
        <v>6641</v>
      </c>
      <c r="U69" s="3"/>
      <c r="V69" s="8">
        <f t="shared" si="13"/>
        <v>1.1582419000678447E-2</v>
      </c>
      <c r="W69" s="3"/>
      <c r="X69" s="7">
        <f t="shared" si="14"/>
        <v>19557.61</v>
      </c>
      <c r="Y69" s="3"/>
      <c r="Z69" s="8">
        <f t="shared" si="15"/>
        <v>2.9449796717361845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5529.98</v>
      </c>
      <c r="E70" s="2"/>
      <c r="F70" s="6">
        <f t="shared" si="8"/>
        <v>3.1624010316441395E-2</v>
      </c>
      <c r="G70" s="2"/>
      <c r="H70" s="2">
        <f>SUM(OSRRefH22_12x_0)</f>
        <v>4979</v>
      </c>
      <c r="I70" s="2"/>
      <c r="J70" s="6">
        <f t="shared" si="9"/>
        <v>4.0881845800147795E-2</v>
      </c>
      <c r="K70" s="2"/>
      <c r="L70" s="2">
        <f t="shared" si="10"/>
        <v>550.97999999999956</v>
      </c>
      <c r="M70" s="2"/>
      <c r="N70" s="6">
        <f t="shared" si="11"/>
        <v>0.11066077525607543</v>
      </c>
      <c r="O70" s="14"/>
      <c r="P70" s="2">
        <f>SUM(OSRRefP22_12x_0)</f>
        <v>51070.51</v>
      </c>
      <c r="Q70" s="2"/>
      <c r="R70" s="6">
        <f t="shared" si="12"/>
        <v>6.6720188604997996E-2</v>
      </c>
      <c r="S70" s="2"/>
      <c r="T70" s="2">
        <f>SUM(OSRRefT22_12x_0)</f>
        <v>49058</v>
      </c>
      <c r="U70" s="2"/>
      <c r="V70" s="6">
        <f t="shared" si="13"/>
        <v>8.5560956382364592E-2</v>
      </c>
      <c r="W70" s="2"/>
      <c r="X70" s="2">
        <f t="shared" si="14"/>
        <v>2012.510000000002</v>
      </c>
      <c r="Y70" s="2"/>
      <c r="Z70" s="6">
        <f t="shared" si="15"/>
        <v>4.1023074727873171E-2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7">
        <v>773.5</v>
      </c>
      <c r="E71" s="3"/>
      <c r="F71" s="8">
        <f t="shared" si="8"/>
        <v>4.4233744027586761E-3</v>
      </c>
      <c r="G71" s="3"/>
      <c r="H71" s="7">
        <v>328</v>
      </c>
      <c r="I71" s="3"/>
      <c r="J71" s="8">
        <f t="shared" si="9"/>
        <v>2.693160357993267E-3</v>
      </c>
      <c r="K71" s="3"/>
      <c r="L71" s="7">
        <f t="shared" si="10"/>
        <v>445.5</v>
      </c>
      <c r="M71" s="3"/>
      <c r="N71" s="8">
        <f t="shared" si="11"/>
        <v>1.3582317073170731</v>
      </c>
      <c r="O71" s="12"/>
      <c r="P71" s="7">
        <v>3585.9</v>
      </c>
      <c r="Q71" s="3"/>
      <c r="R71" s="8">
        <f t="shared" si="12"/>
        <v>4.6847373233332174E-3</v>
      </c>
      <c r="S71" s="3"/>
      <c r="T71" s="7">
        <v>3280</v>
      </c>
      <c r="U71" s="3"/>
      <c r="V71" s="8">
        <f t="shared" si="13"/>
        <v>5.7205743596183264E-3</v>
      </c>
      <c r="W71" s="3"/>
      <c r="X71" s="7">
        <f t="shared" si="14"/>
        <v>305.90000000000009</v>
      </c>
      <c r="Y71" s="3"/>
      <c r="Z71" s="8">
        <f t="shared" si="15"/>
        <v>9.3262195121951247E-2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7"/>
      <c r="E72" s="3"/>
      <c r="F72" s="8">
        <f t="shared" si="8"/>
        <v>0</v>
      </c>
      <c r="G72" s="3"/>
      <c r="H72" s="7">
        <v>1000</v>
      </c>
      <c r="I72" s="3"/>
      <c r="J72" s="8">
        <f t="shared" si="9"/>
        <v>8.2108547499794727E-3</v>
      </c>
      <c r="K72" s="3"/>
      <c r="L72" s="7">
        <f t="shared" si="10"/>
        <v>-1000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10000</v>
      </c>
      <c r="U72" s="3"/>
      <c r="V72" s="8">
        <f t="shared" si="13"/>
        <v>1.7440775486641236E-2</v>
      </c>
      <c r="W72" s="3"/>
      <c r="X72" s="7">
        <f t="shared" si="14"/>
        <v>-10000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4101.2</v>
      </c>
      <c r="E73" s="3"/>
      <c r="F73" s="8">
        <f t="shared" si="8"/>
        <v>2.3453320104193768E-2</v>
      </c>
      <c r="G73" s="3"/>
      <c r="H73" s="7">
        <v>3041</v>
      </c>
      <c r="I73" s="3"/>
      <c r="J73" s="8">
        <f t="shared" si="9"/>
        <v>2.4969209294687576E-2</v>
      </c>
      <c r="K73" s="3"/>
      <c r="L73" s="7">
        <f t="shared" si="10"/>
        <v>1060.1999999999998</v>
      </c>
      <c r="M73" s="3"/>
      <c r="N73" s="8">
        <f t="shared" si="11"/>
        <v>0.34863531732982567</v>
      </c>
      <c r="O73" s="12"/>
      <c r="P73" s="7">
        <v>44315.06</v>
      </c>
      <c r="Q73" s="3"/>
      <c r="R73" s="8">
        <f t="shared" si="12"/>
        <v>5.7894647248320066E-2</v>
      </c>
      <c r="S73" s="3"/>
      <c r="T73" s="7">
        <v>30410</v>
      </c>
      <c r="U73" s="3"/>
      <c r="V73" s="8">
        <f t="shared" si="13"/>
        <v>5.3037398254876002E-2</v>
      </c>
      <c r="W73" s="3"/>
      <c r="X73" s="7">
        <f t="shared" si="14"/>
        <v>13905.059999999998</v>
      </c>
      <c r="Y73" s="3"/>
      <c r="Z73" s="8">
        <f t="shared" si="15"/>
        <v>0.4572528773429792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7">
        <v>655.28</v>
      </c>
      <c r="E74" s="3"/>
      <c r="F74" s="8">
        <f t="shared" si="8"/>
        <v>3.7473158094889531E-3</v>
      </c>
      <c r="G74" s="3"/>
      <c r="H74" s="7">
        <v>610</v>
      </c>
      <c r="I74" s="3"/>
      <c r="J74" s="8">
        <f t="shared" si="9"/>
        <v>5.0086213974874783E-3</v>
      </c>
      <c r="K74" s="3"/>
      <c r="L74" s="7">
        <f t="shared" si="10"/>
        <v>45.279999999999973</v>
      </c>
      <c r="M74" s="3"/>
      <c r="N74" s="8">
        <f t="shared" si="11"/>
        <v>7.4229508196721264E-2</v>
      </c>
      <c r="O74" s="12"/>
      <c r="P74" s="7">
        <v>3169.55</v>
      </c>
      <c r="Q74" s="3"/>
      <c r="R74" s="8">
        <f t="shared" si="12"/>
        <v>4.1408040333447112E-3</v>
      </c>
      <c r="S74" s="3"/>
      <c r="T74" s="7">
        <v>5368</v>
      </c>
      <c r="U74" s="3"/>
      <c r="V74" s="8">
        <f t="shared" si="13"/>
        <v>9.3622082812290161E-3</v>
      </c>
      <c r="W74" s="3"/>
      <c r="X74" s="7">
        <f t="shared" si="14"/>
        <v>-2198.4499999999998</v>
      </c>
      <c r="Y74" s="3"/>
      <c r="Z74" s="8">
        <f t="shared" si="15"/>
        <v>-0.40954731743666167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SUM(OSRRefD22_13x_0)</f>
        <v>327.64</v>
      </c>
      <c r="E75" s="2"/>
      <c r="F75" s="6">
        <f t="shared" si="8"/>
        <v>1.8736579047444765E-3</v>
      </c>
      <c r="G75" s="2"/>
      <c r="H75" s="2">
        <f>SUM(OSRRefH22_13x_0)</f>
        <v>380</v>
      </c>
      <c r="I75" s="2"/>
      <c r="J75" s="6">
        <f t="shared" si="9"/>
        <v>3.1201248049921998E-3</v>
      </c>
      <c r="K75" s="2"/>
      <c r="L75" s="2">
        <f t="shared" si="10"/>
        <v>-52.360000000000014</v>
      </c>
      <c r="M75" s="2"/>
      <c r="N75" s="6">
        <f t="shared" si="11"/>
        <v>-0.13778947368421057</v>
      </c>
      <c r="O75" s="14"/>
      <c r="P75" s="2">
        <f>SUM(OSRRefP22_13x_0)</f>
        <v>3894.64</v>
      </c>
      <c r="Q75" s="2"/>
      <c r="R75" s="6">
        <f t="shared" si="12"/>
        <v>5.088085381339826E-3</v>
      </c>
      <c r="S75" s="2"/>
      <c r="T75" s="2">
        <f>SUM(OSRRefT22_13x_0)</f>
        <v>3800</v>
      </c>
      <c r="U75" s="2"/>
      <c r="V75" s="6">
        <f t="shared" si="13"/>
        <v>6.6274946849236701E-3</v>
      </c>
      <c r="W75" s="2"/>
      <c r="X75" s="2">
        <f t="shared" si="14"/>
        <v>94.639999999999873</v>
      </c>
      <c r="Y75" s="2"/>
      <c r="Z75" s="6">
        <f t="shared" si="15"/>
        <v>2.4905263157894705E-2</v>
      </c>
    </row>
    <row r="76" spans="1:26" s="70" customFormat="1" ht="15" hidden="1" customHeight="1" outlineLevel="2" x14ac:dyDescent="0.3">
      <c r="A76" s="26"/>
      <c r="B76" s="12" t="str">
        <f>CONCATENATE("          ","6275"," - ","SUBSCRIPTIONS")</f>
        <v xml:space="preserve">          6275 - SUBSCRIPTIONS</v>
      </c>
      <c r="C76" s="12"/>
      <c r="D76" s="7">
        <v>327.64</v>
      </c>
      <c r="E76" s="3"/>
      <c r="F76" s="8">
        <f t="shared" si="8"/>
        <v>1.8736579047444765E-3</v>
      </c>
      <c r="G76" s="3"/>
      <c r="H76" s="7">
        <v>380</v>
      </c>
      <c r="I76" s="3"/>
      <c r="J76" s="8">
        <f t="shared" si="9"/>
        <v>3.1201248049921998E-3</v>
      </c>
      <c r="K76" s="3"/>
      <c r="L76" s="7">
        <f t="shared" si="10"/>
        <v>-52.360000000000014</v>
      </c>
      <c r="M76" s="3"/>
      <c r="N76" s="8">
        <f t="shared" si="11"/>
        <v>-0.13778947368421057</v>
      </c>
      <c r="O76" s="12"/>
      <c r="P76" s="7">
        <v>3894.64</v>
      </c>
      <c r="Q76" s="3"/>
      <c r="R76" s="8">
        <f t="shared" si="12"/>
        <v>5.088085381339826E-3</v>
      </c>
      <c r="S76" s="3"/>
      <c r="T76" s="7">
        <v>3800</v>
      </c>
      <c r="U76" s="3"/>
      <c r="V76" s="8">
        <f t="shared" si="13"/>
        <v>6.6274946849236701E-3</v>
      </c>
      <c r="W76" s="3"/>
      <c r="X76" s="7">
        <f t="shared" si="14"/>
        <v>94.639999999999873</v>
      </c>
      <c r="Y76" s="3"/>
      <c r="Z76" s="8">
        <f t="shared" si="15"/>
        <v>2.4905263157894705E-2</v>
      </c>
    </row>
    <row r="77" spans="1:26" s="69" customFormat="1" ht="15" customHeight="1" outlineLevel="1" collapsed="1" x14ac:dyDescent="0.3">
      <c r="A77" s="25"/>
      <c r="B77" s="14" t="str">
        <f>CONCATENATE("     ","Supplies                                          ")</f>
        <v xml:space="preserve">     Supplies                                          </v>
      </c>
      <c r="C77" s="14"/>
      <c r="D77" s="2">
        <f>SUM(OSRRefD22_14x_0)</f>
        <v>3105.34</v>
      </c>
      <c r="E77" s="2"/>
      <c r="F77" s="6">
        <f t="shared" si="8"/>
        <v>1.7758347081916776E-2</v>
      </c>
      <c r="G77" s="2"/>
      <c r="H77" s="2">
        <f>SUM(OSRRefH22_14x_0)</f>
        <v>200</v>
      </c>
      <c r="I77" s="2"/>
      <c r="J77" s="6">
        <f t="shared" si="9"/>
        <v>1.6421709499958945E-3</v>
      </c>
      <c r="K77" s="2"/>
      <c r="L77" s="2">
        <f t="shared" si="10"/>
        <v>2905.34</v>
      </c>
      <c r="M77" s="2"/>
      <c r="N77" s="6">
        <f t="shared" si="11"/>
        <v>14.5267</v>
      </c>
      <c r="O77" s="14"/>
      <c r="P77" s="2">
        <f>SUM(OSRRefP22_14x_0)</f>
        <v>16543.210000000003</v>
      </c>
      <c r="Q77" s="2"/>
      <c r="R77" s="6">
        <f t="shared" si="12"/>
        <v>2.1612591911302416E-2</v>
      </c>
      <c r="S77" s="2"/>
      <c r="T77" s="2">
        <f>SUM(OSRRefT22_14x_0)</f>
        <v>9273</v>
      </c>
      <c r="U77" s="2"/>
      <c r="V77" s="6">
        <f t="shared" si="13"/>
        <v>1.6172831108762421E-2</v>
      </c>
      <c r="W77" s="2"/>
      <c r="X77" s="2">
        <f t="shared" si="14"/>
        <v>7270.2100000000028</v>
      </c>
      <c r="Y77" s="2"/>
      <c r="Z77" s="6">
        <f t="shared" si="15"/>
        <v>0.78401919551385768</v>
      </c>
    </row>
    <row r="78" spans="1:26" s="70" customFormat="1" ht="15" hidden="1" customHeight="1" outlineLevel="2" x14ac:dyDescent="0.3">
      <c r="A78" s="26"/>
      <c r="B78" s="12" t="str">
        <f>CONCATENATE("          ","6234"," - ","EXPENDABLE SUPPLIES &amp; EQUIPMEN")</f>
        <v xml:space="preserve">          6234 - EXPENDABLE SUPPLIES &amp; EQUIPMEN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57.77</v>
      </c>
      <c r="Q78" s="3"/>
      <c r="R78" s="8">
        <f t="shared" si="12"/>
        <v>7.5472621983033544E-5</v>
      </c>
      <c r="S78" s="3"/>
      <c r="T78" s="7"/>
      <c r="U78" s="3"/>
      <c r="V78" s="8">
        <f t="shared" si="13"/>
        <v>0</v>
      </c>
      <c r="W78" s="3"/>
      <c r="X78" s="7">
        <f t="shared" si="14"/>
        <v>57.77</v>
      </c>
      <c r="Y78" s="3"/>
      <c r="Z78" s="8">
        <f t="shared" si="15"/>
        <v>0</v>
      </c>
    </row>
    <row r="79" spans="1:26" s="70" customFormat="1" ht="15" hidden="1" customHeight="1" outlineLevel="2" x14ac:dyDescent="0.3">
      <c r="A79" s="26"/>
      <c r="B79" s="12" t="str">
        <f>CONCATENATE("          ","6235"," - ","COVID-19 EXPENSES")</f>
        <v xml:space="preserve">          6235 - COVID-19 EXPENSES</v>
      </c>
      <c r="C79" s="12"/>
      <c r="D79" s="7"/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0</v>
      </c>
      <c r="M79" s="3"/>
      <c r="N79" s="8">
        <f t="shared" si="11"/>
        <v>0</v>
      </c>
      <c r="O79" s="12"/>
      <c r="P79" s="7">
        <v>35.72</v>
      </c>
      <c r="Q79" s="3"/>
      <c r="R79" s="8">
        <f t="shared" si="12"/>
        <v>4.6665779076232612E-5</v>
      </c>
      <c r="S79" s="3"/>
      <c r="T79" s="7"/>
      <c r="U79" s="3"/>
      <c r="V79" s="8">
        <f t="shared" si="13"/>
        <v>0</v>
      </c>
      <c r="W79" s="3"/>
      <c r="X79" s="7">
        <f t="shared" si="14"/>
        <v>35.72</v>
      </c>
      <c r="Y79" s="3"/>
      <c r="Z79" s="8">
        <f t="shared" si="15"/>
        <v>0</v>
      </c>
    </row>
    <row r="80" spans="1:26" s="70" customFormat="1" ht="15" hidden="1" customHeight="1" outlineLevel="2" x14ac:dyDescent="0.3">
      <c r="A80" s="26"/>
      <c r="B80" s="12" t="str">
        <f>CONCATENATE("          ","6237"," - ","JANITORIAL SUPPLIES")</f>
        <v xml:space="preserve">          6237 - JANITORIAL SUPPLIES</v>
      </c>
      <c r="C80" s="12"/>
      <c r="D80" s="7">
        <v>953.14</v>
      </c>
      <c r="E80" s="3"/>
      <c r="F80" s="8">
        <f t="shared" si="8"/>
        <v>5.4506723700651636E-3</v>
      </c>
      <c r="G80" s="3"/>
      <c r="H80" s="7"/>
      <c r="I80" s="3"/>
      <c r="J80" s="8">
        <f t="shared" si="9"/>
        <v>0</v>
      </c>
      <c r="K80" s="3"/>
      <c r="L80" s="7">
        <f t="shared" si="10"/>
        <v>953.14</v>
      </c>
      <c r="M80" s="3"/>
      <c r="N80" s="8">
        <f t="shared" si="11"/>
        <v>0</v>
      </c>
      <c r="O80" s="12"/>
      <c r="P80" s="7">
        <v>6982.88</v>
      </c>
      <c r="Q80" s="3"/>
      <c r="R80" s="8">
        <f t="shared" si="12"/>
        <v>9.1226633649452177E-3</v>
      </c>
      <c r="S80" s="3"/>
      <c r="T80" s="7">
        <v>1503</v>
      </c>
      <c r="U80" s="3"/>
      <c r="V80" s="8">
        <f t="shared" si="13"/>
        <v>2.621348555642178E-3</v>
      </c>
      <c r="W80" s="3"/>
      <c r="X80" s="7">
        <f t="shared" si="14"/>
        <v>5479.88</v>
      </c>
      <c r="Y80" s="3"/>
      <c r="Z80" s="8">
        <f t="shared" si="15"/>
        <v>3.6459614105123088</v>
      </c>
    </row>
    <row r="81" spans="1:26" s="70" customFormat="1" ht="15" hidden="1" customHeight="1" outlineLevel="2" x14ac:dyDescent="0.3">
      <c r="A81" s="26"/>
      <c r="B81" s="12" t="str">
        <f>CONCATENATE("          ","6239"," - ","KITCHEN SUPPLIES")</f>
        <v xml:space="preserve">          6239 - KITCHEN SUPPLIES</v>
      </c>
      <c r="C81" s="12"/>
      <c r="D81" s="7">
        <v>693.87</v>
      </c>
      <c r="E81" s="3"/>
      <c r="F81" s="8">
        <f t="shared" si="8"/>
        <v>3.9679984445276824E-3</v>
      </c>
      <c r="G81" s="3"/>
      <c r="H81" s="7"/>
      <c r="I81" s="3"/>
      <c r="J81" s="8">
        <f t="shared" si="9"/>
        <v>0</v>
      </c>
      <c r="K81" s="3"/>
      <c r="L81" s="7">
        <f t="shared" si="10"/>
        <v>693.87</v>
      </c>
      <c r="M81" s="3"/>
      <c r="N81" s="8">
        <f t="shared" si="11"/>
        <v>0</v>
      </c>
      <c r="O81" s="12"/>
      <c r="P81" s="7">
        <v>3180.65</v>
      </c>
      <c r="Q81" s="3"/>
      <c r="R81" s="8">
        <f t="shared" si="12"/>
        <v>4.1553054372569787E-3</v>
      </c>
      <c r="S81" s="3"/>
      <c r="T81" s="7">
        <v>149</v>
      </c>
      <c r="U81" s="3"/>
      <c r="V81" s="8">
        <f t="shared" si="13"/>
        <v>2.5986755475095443E-4</v>
      </c>
      <c r="W81" s="3"/>
      <c r="X81" s="7">
        <f t="shared" si="14"/>
        <v>3031.65</v>
      </c>
      <c r="Y81" s="3"/>
      <c r="Z81" s="8">
        <f t="shared" si="15"/>
        <v>20.346644295302013</v>
      </c>
    </row>
    <row r="82" spans="1:26" s="70" customFormat="1" ht="15" hidden="1" customHeight="1" outlineLevel="2" x14ac:dyDescent="0.3">
      <c r="A82" s="26"/>
      <c r="B82" s="12" t="str">
        <f>CONCATENATE("          ","6241"," - ","OFFICE EXPENSE")</f>
        <v xml:space="preserve">          6241 - OFFICE EXPENSE</v>
      </c>
      <c r="C82" s="12"/>
      <c r="D82" s="7">
        <v>8.81</v>
      </c>
      <c r="E82" s="3"/>
      <c r="F82" s="8">
        <f t="shared" si="8"/>
        <v>5.0381290870464045E-5</v>
      </c>
      <c r="G82" s="3"/>
      <c r="H82" s="7"/>
      <c r="I82" s="3"/>
      <c r="J82" s="8">
        <f t="shared" si="9"/>
        <v>0</v>
      </c>
      <c r="K82" s="3"/>
      <c r="L82" s="7">
        <f t="shared" si="10"/>
        <v>8.81</v>
      </c>
      <c r="M82" s="3"/>
      <c r="N82" s="8">
        <f t="shared" si="11"/>
        <v>0</v>
      </c>
      <c r="O82" s="12"/>
      <c r="P82" s="7">
        <v>3780.79</v>
      </c>
      <c r="Q82" s="3"/>
      <c r="R82" s="8">
        <f t="shared" si="12"/>
        <v>4.939348008780221E-3</v>
      </c>
      <c r="S82" s="3"/>
      <c r="T82" s="7">
        <v>2827</v>
      </c>
      <c r="U82" s="3"/>
      <c r="V82" s="8">
        <f t="shared" si="13"/>
        <v>4.9305072300734783E-3</v>
      </c>
      <c r="W82" s="3"/>
      <c r="X82" s="7">
        <f t="shared" si="14"/>
        <v>953.79</v>
      </c>
      <c r="Y82" s="3"/>
      <c r="Z82" s="8">
        <f t="shared" si="15"/>
        <v>0.33738592147152457</v>
      </c>
    </row>
    <row r="83" spans="1:26" s="70" customFormat="1" ht="15" hidden="1" customHeight="1" outlineLevel="2" x14ac:dyDescent="0.3">
      <c r="A83" s="26"/>
      <c r="B83" s="12" t="str">
        <f>CONCATENATE("          ","6243"," - ","PAPER SUPPLIES")</f>
        <v xml:space="preserve">          6243 - PAPER SUPPLIES</v>
      </c>
      <c r="C83" s="12"/>
      <c r="D83" s="7">
        <v>1449.52</v>
      </c>
      <c r="E83" s="3"/>
      <c r="F83" s="8">
        <f t="shared" si="8"/>
        <v>8.2892949764534658E-3</v>
      </c>
      <c r="G83" s="3"/>
      <c r="H83" s="7">
        <v>200</v>
      </c>
      <c r="I83" s="3"/>
      <c r="J83" s="8">
        <f t="shared" si="9"/>
        <v>1.6421709499958945E-3</v>
      </c>
      <c r="K83" s="3"/>
      <c r="L83" s="7">
        <f t="shared" si="10"/>
        <v>1249.52</v>
      </c>
      <c r="M83" s="3"/>
      <c r="N83" s="8">
        <f t="shared" si="11"/>
        <v>6.2476000000000003</v>
      </c>
      <c r="O83" s="12"/>
      <c r="P83" s="7">
        <v>2505.4</v>
      </c>
      <c r="Q83" s="3"/>
      <c r="R83" s="8">
        <f t="shared" si="12"/>
        <v>3.2731366992607277E-3</v>
      </c>
      <c r="S83" s="3"/>
      <c r="T83" s="7">
        <v>2883</v>
      </c>
      <c r="U83" s="3"/>
      <c r="V83" s="8">
        <f t="shared" si="13"/>
        <v>5.0281755727986689E-3</v>
      </c>
      <c r="W83" s="3"/>
      <c r="X83" s="7">
        <f t="shared" si="14"/>
        <v>-377.59999999999991</v>
      </c>
      <c r="Y83" s="3"/>
      <c r="Z83" s="8">
        <f t="shared" si="15"/>
        <v>-0.13097467915365935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7"/>
      <c r="E84" s="3"/>
      <c r="F84" s="8">
        <f t="shared" si="8"/>
        <v>0</v>
      </c>
      <c r="G84" s="3"/>
      <c r="H84" s="7"/>
      <c r="I84" s="3"/>
      <c r="J84" s="8">
        <f t="shared" si="9"/>
        <v>0</v>
      </c>
      <c r="K84" s="3"/>
      <c r="L84" s="7">
        <f t="shared" si="10"/>
        <v>0</v>
      </c>
      <c r="M84" s="3"/>
      <c r="N84" s="8">
        <f t="shared" si="11"/>
        <v>0</v>
      </c>
      <c r="O84" s="12"/>
      <c r="P84" s="7"/>
      <c r="Q84" s="3"/>
      <c r="R84" s="8">
        <f t="shared" si="12"/>
        <v>0</v>
      </c>
      <c r="S84" s="3"/>
      <c r="T84" s="7">
        <v>411</v>
      </c>
      <c r="U84" s="3"/>
      <c r="V84" s="8">
        <f t="shared" si="13"/>
        <v>7.1681587250095494E-4</v>
      </c>
      <c r="W84" s="3"/>
      <c r="X84" s="7">
        <f t="shared" si="14"/>
        <v>-411</v>
      </c>
      <c r="Y84" s="3"/>
      <c r="Z84" s="8">
        <f t="shared" si="15"/>
        <v>-1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7"/>
      <c r="E85" s="3"/>
      <c r="F85" s="8">
        <f t="shared" si="8"/>
        <v>0</v>
      </c>
      <c r="G85" s="3"/>
      <c r="H85" s="7"/>
      <c r="I85" s="3"/>
      <c r="J85" s="8">
        <f t="shared" si="9"/>
        <v>0</v>
      </c>
      <c r="K85" s="3"/>
      <c r="L85" s="7">
        <f t="shared" si="10"/>
        <v>0</v>
      </c>
      <c r="M85" s="3"/>
      <c r="N85" s="8">
        <f t="shared" si="11"/>
        <v>0</v>
      </c>
      <c r="O85" s="12"/>
      <c r="P85" s="7"/>
      <c r="Q85" s="3"/>
      <c r="R85" s="8">
        <f t="shared" si="12"/>
        <v>0</v>
      </c>
      <c r="S85" s="3"/>
      <c r="T85" s="7">
        <v>1500</v>
      </c>
      <c r="U85" s="3"/>
      <c r="V85" s="8">
        <f t="shared" si="13"/>
        <v>2.6161163229961857E-3</v>
      </c>
      <c r="W85" s="3"/>
      <c r="X85" s="7">
        <f t="shared" si="14"/>
        <v>-1500</v>
      </c>
      <c r="Y85" s="3"/>
      <c r="Z85" s="8">
        <f t="shared" si="15"/>
        <v>-1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255.3</v>
      </c>
      <c r="E86" s="2"/>
      <c r="F86" s="6">
        <f t="shared" si="8"/>
        <v>1.45997089208053E-3</v>
      </c>
      <c r="G86" s="2"/>
      <c r="H86" s="2">
        <f>SUM(OSRRefH22_15x_0)</f>
        <v>135</v>
      </c>
      <c r="I86" s="2"/>
      <c r="J86" s="6">
        <f t="shared" si="9"/>
        <v>1.1084653912472289E-3</v>
      </c>
      <c r="K86" s="2"/>
      <c r="L86" s="2">
        <f t="shared" si="10"/>
        <v>120.30000000000001</v>
      </c>
      <c r="M86" s="2"/>
      <c r="N86" s="6">
        <f t="shared" si="11"/>
        <v>0.89111111111111119</v>
      </c>
      <c r="O86" s="14"/>
      <c r="P86" s="2">
        <f>SUM(OSRRefP22_15x_0)</f>
        <v>2356.0300000000002</v>
      </c>
      <c r="Q86" s="2"/>
      <c r="R86" s="6">
        <f t="shared" si="12"/>
        <v>3.0779948341818682E-3</v>
      </c>
      <c r="S86" s="2"/>
      <c r="T86" s="2">
        <f>SUM(OSRRefT22_15x_0)</f>
        <v>1350</v>
      </c>
      <c r="U86" s="2"/>
      <c r="V86" s="6">
        <f t="shared" si="13"/>
        <v>2.3545046906965671E-3</v>
      </c>
      <c r="W86" s="2"/>
      <c r="X86" s="2">
        <f t="shared" si="14"/>
        <v>1006.0300000000002</v>
      </c>
      <c r="Y86" s="2"/>
      <c r="Z86" s="6">
        <f t="shared" si="15"/>
        <v>0.74520740740740754</v>
      </c>
    </row>
    <row r="87" spans="1:26" s="70" customFormat="1" ht="15" hidden="1" customHeight="1" outlineLevel="2" x14ac:dyDescent="0.3">
      <c r="A87" s="26"/>
      <c r="B87" s="12" t="str">
        <f>CONCATENATE("          ","6303"," - ","DATA PHONE LINES")</f>
        <v xml:space="preserve">          6303 - DATA PHONE LINES</v>
      </c>
      <c r="C87" s="12"/>
      <c r="D87" s="7"/>
      <c r="E87" s="3"/>
      <c r="F87" s="8">
        <f t="shared" si="8"/>
        <v>0</v>
      </c>
      <c r="G87" s="3"/>
      <c r="H87" s="7">
        <v>60</v>
      </c>
      <c r="I87" s="3"/>
      <c r="J87" s="8">
        <f t="shared" si="9"/>
        <v>4.9265128499876838E-4</v>
      </c>
      <c r="K87" s="3"/>
      <c r="L87" s="7">
        <f t="shared" si="10"/>
        <v>-60</v>
      </c>
      <c r="M87" s="3"/>
      <c r="N87" s="8">
        <f t="shared" si="11"/>
        <v>-1</v>
      </c>
      <c r="O87" s="12"/>
      <c r="P87" s="7"/>
      <c r="Q87" s="3"/>
      <c r="R87" s="8">
        <f t="shared" si="12"/>
        <v>0</v>
      </c>
      <c r="S87" s="3"/>
      <c r="T87" s="7">
        <v>600</v>
      </c>
      <c r="U87" s="3"/>
      <c r="V87" s="8">
        <f t="shared" si="13"/>
        <v>1.0464465291984742E-3</v>
      </c>
      <c r="W87" s="3"/>
      <c r="X87" s="7">
        <f t="shared" si="14"/>
        <v>-600</v>
      </c>
      <c r="Y87" s="3"/>
      <c r="Z87" s="8">
        <f t="shared" si="15"/>
        <v>-1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255.3</v>
      </c>
      <c r="E88" s="3"/>
      <c r="F88" s="8">
        <f t="shared" si="8"/>
        <v>1.45997089208053E-3</v>
      </c>
      <c r="G88" s="3"/>
      <c r="H88" s="7">
        <v>75</v>
      </c>
      <c r="I88" s="3"/>
      <c r="J88" s="8">
        <f t="shared" si="9"/>
        <v>6.1581410624846045E-4</v>
      </c>
      <c r="K88" s="3"/>
      <c r="L88" s="7">
        <f t="shared" si="10"/>
        <v>180.3</v>
      </c>
      <c r="M88" s="3"/>
      <c r="N88" s="8">
        <f t="shared" si="11"/>
        <v>2.4040000000000004</v>
      </c>
      <c r="O88" s="12"/>
      <c r="P88" s="7">
        <v>2356.0300000000002</v>
      </c>
      <c r="Q88" s="3"/>
      <c r="R88" s="8">
        <f t="shared" si="12"/>
        <v>3.0779948341818682E-3</v>
      </c>
      <c r="S88" s="3"/>
      <c r="T88" s="7">
        <v>750</v>
      </c>
      <c r="U88" s="3"/>
      <c r="V88" s="8">
        <f t="shared" si="13"/>
        <v>1.3080581614980929E-3</v>
      </c>
      <c r="W88" s="3"/>
      <c r="X88" s="7">
        <f t="shared" si="14"/>
        <v>1606.0300000000002</v>
      </c>
      <c r="Y88" s="3"/>
      <c r="Z88" s="8">
        <f t="shared" si="15"/>
        <v>2.1413733333333336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SUM(OSRRefD22_16x_0)</f>
        <v>15.95</v>
      </c>
      <c r="E89" s="2"/>
      <c r="F89" s="6">
        <f t="shared" si="8"/>
        <v>9.1212439203621043E-5</v>
      </c>
      <c r="G89" s="2"/>
      <c r="H89" s="2">
        <f>SUM(OSRRefH22_16x_0)</f>
        <v>0</v>
      </c>
      <c r="I89" s="2"/>
      <c r="J89" s="6">
        <f t="shared" si="9"/>
        <v>0</v>
      </c>
      <c r="K89" s="2"/>
      <c r="L89" s="2">
        <f t="shared" si="10"/>
        <v>15.95</v>
      </c>
      <c r="M89" s="2"/>
      <c r="N89" s="6">
        <f t="shared" si="11"/>
        <v>0</v>
      </c>
      <c r="O89" s="14"/>
      <c r="P89" s="2">
        <f>SUM(OSRRefP22_16x_0)</f>
        <v>175.95</v>
      </c>
      <c r="Q89" s="2"/>
      <c r="R89" s="6">
        <f t="shared" si="12"/>
        <v>2.2986684850120738E-4</v>
      </c>
      <c r="S89" s="2"/>
      <c r="T89" s="2">
        <f>SUM(OSRRefT22_16x_0)</f>
        <v>760</v>
      </c>
      <c r="U89" s="2"/>
      <c r="V89" s="6">
        <f t="shared" si="13"/>
        <v>1.325498936984734E-3</v>
      </c>
      <c r="W89" s="2"/>
      <c r="X89" s="2">
        <f t="shared" si="14"/>
        <v>-584.04999999999995</v>
      </c>
      <c r="Y89" s="2"/>
      <c r="Z89" s="6">
        <f t="shared" si="15"/>
        <v>-0.76848684210526308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>
        <v>15.95</v>
      </c>
      <c r="E90" s="3"/>
      <c r="F90" s="8">
        <f t="shared" si="8"/>
        <v>9.1212439203621043E-5</v>
      </c>
      <c r="G90" s="3"/>
      <c r="H90" s="7"/>
      <c r="I90" s="3"/>
      <c r="J90" s="8">
        <f t="shared" si="9"/>
        <v>0</v>
      </c>
      <c r="K90" s="3"/>
      <c r="L90" s="7">
        <f t="shared" si="10"/>
        <v>15.95</v>
      </c>
      <c r="M90" s="3"/>
      <c r="N90" s="8">
        <f t="shared" si="11"/>
        <v>0</v>
      </c>
      <c r="O90" s="12"/>
      <c r="P90" s="7">
        <v>175.95</v>
      </c>
      <c r="Q90" s="3"/>
      <c r="R90" s="8">
        <f t="shared" si="12"/>
        <v>2.2986684850120738E-4</v>
      </c>
      <c r="S90" s="3"/>
      <c r="T90" s="7">
        <v>760</v>
      </c>
      <c r="U90" s="3"/>
      <c r="V90" s="8">
        <f t="shared" si="13"/>
        <v>1.325498936984734E-3</v>
      </c>
      <c r="W90" s="3"/>
      <c r="X90" s="7">
        <f t="shared" si="14"/>
        <v>-584.04999999999995</v>
      </c>
      <c r="Y90" s="3"/>
      <c r="Z90" s="8">
        <f t="shared" si="15"/>
        <v>-0.76848684210526308</v>
      </c>
    </row>
    <row r="91" spans="1:26" s="69" customFormat="1" ht="15" customHeight="1" outlineLevel="1" collapsed="1" x14ac:dyDescent="0.3">
      <c r="A91" s="25"/>
      <c r="B91" s="14" t="str">
        <f>CONCATENATE("     ","Utilities                                         ")</f>
        <v xml:space="preserve">     Utilities                                         </v>
      </c>
      <c r="C91" s="14"/>
      <c r="D91" s="2">
        <f>SUM(OSRRefD22_17x_0)</f>
        <v>2400</v>
      </c>
      <c r="E91" s="2"/>
      <c r="F91" s="6">
        <f t="shared" si="8"/>
        <v>1.372475574223765E-2</v>
      </c>
      <c r="G91" s="2"/>
      <c r="H91" s="2">
        <f>SUM(OSRRefH22_17x_0)</f>
        <v>2417</v>
      </c>
      <c r="I91" s="2"/>
      <c r="J91" s="6">
        <f t="shared" si="9"/>
        <v>1.9845635930700385E-2</v>
      </c>
      <c r="K91" s="2"/>
      <c r="L91" s="2">
        <f t="shared" si="10"/>
        <v>-17</v>
      </c>
      <c r="M91" s="2"/>
      <c r="N91" s="6">
        <f t="shared" si="11"/>
        <v>-7.0335126189491103E-3</v>
      </c>
      <c r="O91" s="14"/>
      <c r="P91" s="2">
        <f>SUM(OSRRefP22_17x_0)</f>
        <v>21600</v>
      </c>
      <c r="Q91" s="2"/>
      <c r="R91" s="6">
        <f t="shared" si="12"/>
        <v>2.8218948153600907E-2</v>
      </c>
      <c r="S91" s="2"/>
      <c r="T91" s="2">
        <f>SUM(OSRRefT22_17x_0)</f>
        <v>24170</v>
      </c>
      <c r="U91" s="2"/>
      <c r="V91" s="6">
        <f t="shared" si="13"/>
        <v>4.215435435121187E-2</v>
      </c>
      <c r="W91" s="2"/>
      <c r="X91" s="2">
        <f t="shared" si="14"/>
        <v>-2570</v>
      </c>
      <c r="Y91" s="2"/>
      <c r="Z91" s="6">
        <f t="shared" si="15"/>
        <v>-0.1063301613570542</v>
      </c>
    </row>
    <row r="92" spans="1:26" s="70" customFormat="1" ht="15" hidden="1" customHeight="1" outlineLevel="2" x14ac:dyDescent="0.3">
      <c r="A92" s="26"/>
      <c r="B92" s="12" t="str">
        <f>CONCATENATE("          ","6274"," - ","UTILITIES")</f>
        <v xml:space="preserve">          6274 - UTILITIES</v>
      </c>
      <c r="C92" s="12"/>
      <c r="D92" s="7">
        <v>2400</v>
      </c>
      <c r="E92" s="3"/>
      <c r="F92" s="8">
        <f t="shared" si="8"/>
        <v>1.372475574223765E-2</v>
      </c>
      <c r="G92" s="3"/>
      <c r="H92" s="7">
        <v>2417</v>
      </c>
      <c r="I92" s="3"/>
      <c r="J92" s="8">
        <f t="shared" si="9"/>
        <v>1.9845635930700385E-2</v>
      </c>
      <c r="K92" s="3"/>
      <c r="L92" s="7">
        <f t="shared" si="10"/>
        <v>-17</v>
      </c>
      <c r="M92" s="3"/>
      <c r="N92" s="8">
        <f t="shared" si="11"/>
        <v>-7.0335126189491103E-3</v>
      </c>
      <c r="O92" s="12"/>
      <c r="P92" s="7">
        <v>21600</v>
      </c>
      <c r="Q92" s="3"/>
      <c r="R92" s="8">
        <f t="shared" si="12"/>
        <v>2.8218948153600907E-2</v>
      </c>
      <c r="S92" s="3"/>
      <c r="T92" s="7">
        <v>24170</v>
      </c>
      <c r="U92" s="3"/>
      <c r="V92" s="8">
        <f t="shared" si="13"/>
        <v>4.215435435121187E-2</v>
      </c>
      <c r="W92" s="3"/>
      <c r="X92" s="7">
        <f t="shared" si="14"/>
        <v>-2570</v>
      </c>
      <c r="Y92" s="3"/>
      <c r="Z92" s="8">
        <f t="shared" si="15"/>
        <v>-0.1063301613570542</v>
      </c>
    </row>
    <row r="93" spans="1:26" s="65" customFormat="1" ht="15" customHeight="1" x14ac:dyDescent="0.3">
      <c r="A93" s="35"/>
      <c r="B93" s="35"/>
      <c r="C93" s="35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35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63" customFormat="1" ht="15" customHeight="1" collapsed="1" x14ac:dyDescent="0.3">
      <c r="A94" s="11"/>
      <c r="B94" s="28" t="s">
        <v>291</v>
      </c>
      <c r="C94" s="11"/>
      <c r="D94" s="5">
        <f>SUM(OSRRefD25x_0)</f>
        <v>0</v>
      </c>
      <c r="E94" s="5"/>
      <c r="F94" s="13">
        <f>IF(D$12=0,0,D94/D$12)</f>
        <v>0</v>
      </c>
      <c r="G94" s="5"/>
      <c r="H94" s="5">
        <f>SUM(OSRRefH25x_0)</f>
        <v>0</v>
      </c>
      <c r="I94" s="5"/>
      <c r="J94" s="13">
        <f>IF(H$12=0,0,H94/H$12)</f>
        <v>0</v>
      </c>
      <c r="K94" s="5"/>
      <c r="L94" s="5">
        <f>+D94-H94</f>
        <v>0</v>
      </c>
      <c r="M94" s="5"/>
      <c r="N94" s="13">
        <f>IF(H94=0,0,L94/H94)</f>
        <v>0</v>
      </c>
      <c r="O94" s="11"/>
      <c r="P94" s="5">
        <f>SUM(OSRRefP25x_0)</f>
        <v>6.03</v>
      </c>
      <c r="Q94" s="5"/>
      <c r="R94" s="13">
        <f>IF(P$12=0,0,P94/P$12)</f>
        <v>7.8777896928802532E-6</v>
      </c>
      <c r="S94" s="5"/>
      <c r="T94" s="5">
        <f>SUM(OSRRefT25x_0)</f>
        <v>0</v>
      </c>
      <c r="U94" s="5"/>
      <c r="V94" s="13">
        <f>IF(T$12=0,0,T94/T$12)</f>
        <v>0</v>
      </c>
      <c r="W94" s="5"/>
      <c r="X94" s="5">
        <f>+P94-T94</f>
        <v>6.03</v>
      </c>
      <c r="Y94" s="5"/>
      <c r="Z94" s="13">
        <f>IF(T94=0,0,X94/T94)</f>
        <v>0</v>
      </c>
    </row>
    <row r="95" spans="1:26" s="70" customFormat="1" ht="15" hidden="1" customHeight="1" outlineLevel="1" x14ac:dyDescent="0.3">
      <c r="A95" s="42"/>
      <c r="B95" s="12" t="str">
        <f>CONCATENATE("          ","9150"," - ","MISC. INCOME")</f>
        <v xml:space="preserve">          9150 - MISC. INCOME</v>
      </c>
      <c r="C95" s="12"/>
      <c r="D95" s="3">
        <f>0</f>
        <v>0</v>
      </c>
      <c r="E95" s="3"/>
      <c r="F95" s="20">
        <f>IF(D$12=0,0,D95/D$12)</f>
        <v>0</v>
      </c>
      <c r="G95" s="3"/>
      <c r="H95" s="3"/>
      <c r="I95" s="3"/>
      <c r="J95" s="20">
        <f>IF(H$12=0,0,H95/H$12)</f>
        <v>0</v>
      </c>
      <c r="K95" s="3"/>
      <c r="L95" s="3">
        <f>+D95-H95</f>
        <v>0</v>
      </c>
      <c r="M95" s="3"/>
      <c r="N95" s="20">
        <f>IF(H95=0,0,L95/H95)</f>
        <v>0</v>
      </c>
      <c r="O95" s="12"/>
      <c r="P95" s="3">
        <f>--6.03</f>
        <v>6.03</v>
      </c>
      <c r="Q95" s="3"/>
      <c r="R95" s="20">
        <f>IF(P$12=0,0,P95/P$12)</f>
        <v>7.8777896928802532E-6</v>
      </c>
      <c r="S95" s="3"/>
      <c r="T95" s="3"/>
      <c r="U95" s="3"/>
      <c r="V95" s="20">
        <f>IF(T$12=0,0,T95/T$12)</f>
        <v>0</v>
      </c>
      <c r="W95" s="3"/>
      <c r="X95" s="3">
        <f>+P95-T95</f>
        <v>6.03</v>
      </c>
      <c r="Y95" s="3"/>
      <c r="Z95" s="20">
        <f>IF(T95=0,0,X95/T95)</f>
        <v>0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292</v>
      </c>
      <c r="C97" s="27"/>
      <c r="D97" s="21">
        <f>+D23-D25+D94</f>
        <v>27030.810000000012</v>
      </c>
      <c r="E97" s="15"/>
      <c r="F97" s="23">
        <f>IF(D$12=0,0,D97/D$12)</f>
        <v>0.1545796936520146</v>
      </c>
      <c r="G97" s="15"/>
      <c r="H97" s="21">
        <f>+H23-H25+H94</f>
        <v>9338.5523600513116</v>
      </c>
      <c r="I97" s="15"/>
      <c r="J97" s="23">
        <f>IF(H$12=0,0,H97/H$12)</f>
        <v>7.6677497003459327E-2</v>
      </c>
      <c r="K97" s="17"/>
      <c r="L97" s="21">
        <f>+D97-H97</f>
        <v>17692.257639948701</v>
      </c>
      <c r="M97" s="17"/>
      <c r="N97" s="23">
        <f>IF(H97=0,0,L97/H97)</f>
        <v>1.8945396414580353</v>
      </c>
      <c r="O97" s="28"/>
      <c r="P97" s="21">
        <f>+P23-P25+P94</f>
        <v>-280665.9200000001</v>
      </c>
      <c r="Q97" s="15"/>
      <c r="R97" s="23">
        <f>IF(P$12=0,0,P97/P$12)</f>
        <v>-0.36667115948901402</v>
      </c>
      <c r="S97" s="15"/>
      <c r="T97" s="21">
        <f>+T23-T25+T94</f>
        <v>-200271.2508938181</v>
      </c>
      <c r="U97" s="15"/>
      <c r="V97" s="23">
        <f>IF(T$12=0,0,T97/T$12)</f>
        <v>-0.34928859232678799</v>
      </c>
      <c r="W97" s="17"/>
      <c r="X97" s="21">
        <f>+P97-T97</f>
        <v>-80394.669106182002</v>
      </c>
      <c r="Y97" s="17"/>
      <c r="Z97" s="23">
        <f>IF(T97=0,0,X97/T97)</f>
        <v>0.40142890578341917</v>
      </c>
    </row>
    <row r="98" spans="1:26" ht="15" customHeight="1" x14ac:dyDescent="0.3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49"/>
      <c r="B99" s="11" t="s">
        <v>293</v>
      </c>
      <c r="C99" s="11"/>
      <c r="D99" s="5">
        <v>16228.5</v>
      </c>
      <c r="E99" s="5"/>
      <c r="F99" s="13">
        <f>IF(D$12=0,0,D99/D$12)</f>
        <v>9.2805082734543215E-2</v>
      </c>
      <c r="G99" s="5"/>
      <c r="H99" s="5">
        <v>15539</v>
      </c>
      <c r="I99" s="5"/>
      <c r="J99" s="13">
        <f>IF(H$12=0,0,H99/H$12)</f>
        <v>0.12758847195993103</v>
      </c>
      <c r="K99" s="5"/>
      <c r="L99" s="5">
        <f>+D99-H99</f>
        <v>689.5</v>
      </c>
      <c r="M99" s="5"/>
      <c r="N99" s="13">
        <f>IF(H99=0,0,L99/H99)</f>
        <v>4.4372224724885771E-2</v>
      </c>
      <c r="O99" s="11"/>
      <c r="P99" s="5">
        <v>86712.37</v>
      </c>
      <c r="Q99" s="5"/>
      <c r="R99" s="13">
        <f>IF(P$12=0,0,P99/P$12)</f>
        <v>0.11328388302341938</v>
      </c>
      <c r="S99" s="5"/>
      <c r="T99" s="5">
        <v>70534</v>
      </c>
      <c r="U99" s="5"/>
      <c r="V99" s="13">
        <f>IF(T$12=0,0,T99/T$12)</f>
        <v>0.12301676581747531</v>
      </c>
      <c r="W99" s="5"/>
      <c r="X99" s="5">
        <f>+P99-T99</f>
        <v>16178.369999999995</v>
      </c>
      <c r="Y99" s="5"/>
      <c r="Z99" s="13">
        <f>IF(T99=0,0,X99/T99)</f>
        <v>0.22936980746873842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294</v>
      </c>
      <c r="C101" s="27"/>
      <c r="D101" s="29">
        <f>+D97-D99</f>
        <v>10802.310000000012</v>
      </c>
      <c r="E101" s="15"/>
      <c r="F101" s="30">
        <f>IF(D$12=0,0,D101/D$12)</f>
        <v>6.1774610917471398E-2</v>
      </c>
      <c r="G101" s="15"/>
      <c r="H101" s="29">
        <f>+H97-H99</f>
        <v>-6200.4476399486884</v>
      </c>
      <c r="I101" s="15"/>
      <c r="J101" s="30">
        <f>IF(H$12=0,0,H101/H$12)</f>
        <v>-5.0910974956471698E-2</v>
      </c>
      <c r="K101" s="17"/>
      <c r="L101" s="29">
        <f>D101-H101</f>
        <v>17002.757639948701</v>
      </c>
      <c r="M101" s="17"/>
      <c r="N101" s="30">
        <f>IF(H101=0,0,L101/H101)</f>
        <v>-2.7421822789700077</v>
      </c>
      <c r="O101" s="28"/>
      <c r="P101" s="29">
        <f>+P97-P99</f>
        <v>-367378.2900000001</v>
      </c>
      <c r="Q101" s="15"/>
      <c r="R101" s="30">
        <f>IF(P$12=0,0,P101/P$12)</f>
        <v>-0.47995504251243343</v>
      </c>
      <c r="S101" s="15"/>
      <c r="T101" s="29">
        <f>+T97-T99</f>
        <v>-270805.2508938181</v>
      </c>
      <c r="U101" s="15"/>
      <c r="V101" s="30">
        <f>IF(T$12=0,0,T101/T$12)</f>
        <v>-0.47230535814426328</v>
      </c>
      <c r="W101" s="17"/>
      <c r="X101" s="29">
        <f>P101-T101</f>
        <v>-96573.039106181997</v>
      </c>
      <c r="Y101" s="17"/>
      <c r="Z101" s="30">
        <f>IF(T101=0,0,X101/T101)</f>
        <v>0.35661435214950093</v>
      </c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3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7" t="s">
        <v>297</v>
      </c>
      <c r="C104" s="27"/>
      <c r="D104" s="32">
        <f>SUM(D101:D103)</f>
        <v>10802.310000000012</v>
      </c>
      <c r="E104" s="15"/>
      <c r="F104" s="34">
        <f>IF(D$12=0,0,D104/D$12)</f>
        <v>6.1774610917471398E-2</v>
      </c>
      <c r="G104" s="15"/>
      <c r="H104" s="32">
        <f>SUM(H101:H103)</f>
        <v>-6200.4476399486884</v>
      </c>
      <c r="I104" s="15"/>
      <c r="J104" s="34">
        <f>IF(H$12=0,0,H104/H$12)</f>
        <v>-5.0910974956471698E-2</v>
      </c>
      <c r="K104" s="17"/>
      <c r="L104" s="32">
        <f>+D104-H104</f>
        <v>17002.757639948701</v>
      </c>
      <c r="M104" s="17"/>
      <c r="N104" s="34">
        <f>IF(H104=0,0,L104/H104)</f>
        <v>-2.7421822789700077</v>
      </c>
      <c r="O104" s="28"/>
      <c r="P104" s="32">
        <f>SUM(P101:P103)</f>
        <v>-367378.2900000001</v>
      </c>
      <c r="Q104" s="15"/>
      <c r="R104" s="34">
        <f>IF(P$12=0,0,P104/P$12)</f>
        <v>-0.47995504251243343</v>
      </c>
      <c r="S104" s="15"/>
      <c r="T104" s="32">
        <f>SUM(T101:T103)</f>
        <v>-270805.2508938181</v>
      </c>
      <c r="U104" s="15"/>
      <c r="V104" s="34">
        <f>IF(T$12=0,0,T104/T$12)</f>
        <v>-0.47230535814426328</v>
      </c>
      <c r="W104" s="17"/>
      <c r="X104" s="32">
        <f>+P104-T104</f>
        <v>-96573.039106181997</v>
      </c>
      <c r="Y104" s="17"/>
      <c r="Z104" s="34">
        <f>IF(T104=0,0,X104/T104)</f>
        <v>0.35661435214950093</v>
      </c>
    </row>
    <row r="105" spans="1:26" ht="15" customHeight="1" x14ac:dyDescent="0.3">
      <c r="A105" s="10"/>
      <c r="C105" s="10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6">
        <v>44694.888552430559</v>
      </c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A107" s="10"/>
      <c r="B107" s="50" t="s">
        <v>298</v>
      </c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A108" s="10"/>
      <c r="B108" s="51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3449-6266-6206-FFCC-9E0D870F54C9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","418"," - ","Nugget")</f>
        <v>Department 418 - Nugget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0</v>
      </c>
      <c r="E12" s="5"/>
      <c r="F12" s="13"/>
      <c r="G12" s="5"/>
      <c r="H12" s="5">
        <f>SUM(OSRRefH13x_0)</f>
        <v>180776</v>
      </c>
      <c r="I12" s="5"/>
      <c r="J12" s="13"/>
      <c r="K12" s="5"/>
      <c r="L12" s="5">
        <f>+D12-H12</f>
        <v>-180776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809625</v>
      </c>
      <c r="U12" s="5"/>
      <c r="V12" s="13"/>
      <c r="W12" s="5"/>
      <c r="X12" s="5">
        <f>+P12-T12</f>
        <v>-809625</v>
      </c>
      <c r="Y12" s="5"/>
      <c r="Z12" s="13">
        <f>IF(T12=0,0,X12/T12)</f>
        <v>-1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116240</v>
      </c>
      <c r="I13" s="3"/>
      <c r="J13" s="20"/>
      <c r="K13" s="3"/>
      <c r="L13" s="3">
        <f>+D13-H13</f>
        <v>-116240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457326</v>
      </c>
      <c r="U13" s="3"/>
      <c r="V13" s="20"/>
      <c r="W13" s="3"/>
      <c r="X13" s="3">
        <f>+P13-T13</f>
        <v>-457326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64536</v>
      </c>
      <c r="I14" s="3"/>
      <c r="J14" s="20"/>
      <c r="K14" s="3"/>
      <c r="L14" s="3">
        <f>+D14-H14</f>
        <v>-64536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352299</v>
      </c>
      <c r="U14" s="3"/>
      <c r="V14" s="20"/>
      <c r="W14" s="3"/>
      <c r="X14" s="3">
        <f>+P14-T14</f>
        <v>-352299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-181.4</v>
      </c>
      <c r="E16" s="5"/>
      <c r="F16" s="13">
        <f>IF(D$12=0,0,D16/D$12)</f>
        <v>0</v>
      </c>
      <c r="G16" s="5"/>
      <c r="H16" s="5">
        <f>SUM(OSRRefH16x_0)</f>
        <v>61464</v>
      </c>
      <c r="I16" s="5"/>
      <c r="J16" s="13">
        <f>IF(H$12=0,0,H16/H$12)</f>
        <v>0.34000088507323983</v>
      </c>
      <c r="K16" s="5"/>
      <c r="L16" s="5">
        <f>+D16-H16</f>
        <v>-61645.4</v>
      </c>
      <c r="M16" s="5"/>
      <c r="N16" s="13">
        <f>IF(H16=0,0,L16/H16)</f>
        <v>-1.0029513210985292</v>
      </c>
      <c r="O16" s="11"/>
      <c r="P16" s="5">
        <f>SUM(OSRRefP16x_0)</f>
        <v>1168.02</v>
      </c>
      <c r="Q16" s="5"/>
      <c r="R16" s="13">
        <f>IF(P$12=0,0,P16/P$12)</f>
        <v>0</v>
      </c>
      <c r="S16" s="5"/>
      <c r="T16" s="5">
        <f>SUM(OSRRefT16x_0)</f>
        <v>275146</v>
      </c>
      <c r="U16" s="5"/>
      <c r="V16" s="13">
        <f>IF(T$12=0,0,T16/T$12)</f>
        <v>0.33984375482476453</v>
      </c>
      <c r="W16" s="5"/>
      <c r="X16" s="5">
        <f>+P16-T16</f>
        <v>-273977.98</v>
      </c>
      <c r="Y16" s="5"/>
      <c r="Z16" s="13">
        <f>IF(T16=0,0,X16/T16)</f>
        <v>-0.99575490830322799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61464</v>
      </c>
      <c r="I17" s="3"/>
      <c r="J17" s="20">
        <f>IF(H$12=0,0,H17/H$12)</f>
        <v>0.34000088507323983</v>
      </c>
      <c r="K17" s="3"/>
      <c r="L17" s="3">
        <f>+D17-H17</f>
        <v>-61464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275146</v>
      </c>
      <c r="U17" s="3"/>
      <c r="V17" s="20">
        <f>IF(T$12=0,0,T17/T$12)</f>
        <v>0.33984375482476453</v>
      </c>
      <c r="W17" s="3"/>
      <c r="X17" s="3">
        <f>+P17-T17</f>
        <v>-275146</v>
      </c>
      <c r="Y17" s="3"/>
      <c r="Z17" s="20">
        <f>IF(T17=0,0,X17/T17)</f>
        <v>-1</v>
      </c>
    </row>
    <row r="18" spans="1:26" s="70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-181.4</v>
      </c>
      <c r="E18" s="3"/>
      <c r="F18" s="20">
        <f>IF(D$12=0,0,D18/D$12)</f>
        <v>0</v>
      </c>
      <c r="G18" s="3"/>
      <c r="H18" s="3"/>
      <c r="I18" s="3"/>
      <c r="J18" s="20">
        <f>IF(H$12=0,0,H18/H$12)</f>
        <v>0</v>
      </c>
      <c r="K18" s="3"/>
      <c r="L18" s="3">
        <f>+D18-H18</f>
        <v>-181.4</v>
      </c>
      <c r="M18" s="3"/>
      <c r="N18" s="20">
        <f>IF(H18=0,0,L18/H18)</f>
        <v>0</v>
      </c>
      <c r="O18" s="12"/>
      <c r="P18" s="3">
        <v>1168.02</v>
      </c>
      <c r="Q18" s="3"/>
      <c r="R18" s="20">
        <f>IF(P$12=0,0,P18/P$12)</f>
        <v>0</v>
      </c>
      <c r="S18" s="3"/>
      <c r="T18" s="3"/>
      <c r="U18" s="3"/>
      <c r="V18" s="20">
        <f>IF(T$12=0,0,T18/T$12)</f>
        <v>0</v>
      </c>
      <c r="W18" s="3"/>
      <c r="X18" s="3">
        <f>+P18-T18</f>
        <v>1168.02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3">
      <c r="A20" s="11"/>
      <c r="B20" s="27" t="s">
        <v>289</v>
      </c>
      <c r="C20" s="27"/>
      <c r="D20" s="21">
        <f>D12-D16</f>
        <v>181.4</v>
      </c>
      <c r="E20" s="15"/>
      <c r="F20" s="23">
        <f>IF(D$12=0,0,D20/D$12)</f>
        <v>0</v>
      </c>
      <c r="G20" s="15"/>
      <c r="H20" s="21">
        <f>H12-H16</f>
        <v>119312</v>
      </c>
      <c r="I20" s="15"/>
      <c r="J20" s="23">
        <f>IF(H$12=0,0,H20/H$12)</f>
        <v>0.65999911492676022</v>
      </c>
      <c r="K20" s="17"/>
      <c r="L20" s="21">
        <f>+D20-H20</f>
        <v>-119130.6</v>
      </c>
      <c r="M20" s="17"/>
      <c r="N20" s="23">
        <f>IF(H20=0,0,L20/H20)</f>
        <v>-0.99847961646774852</v>
      </c>
      <c r="O20" s="28"/>
      <c r="P20" s="21">
        <f>P12-P16</f>
        <v>-1168.02</v>
      </c>
      <c r="Q20" s="15"/>
      <c r="R20" s="23">
        <f>IF(P$12=0,0,P20/P$12)</f>
        <v>0</v>
      </c>
      <c r="S20" s="15"/>
      <c r="T20" s="21">
        <f>T12-T16</f>
        <v>534479</v>
      </c>
      <c r="U20" s="15"/>
      <c r="V20" s="23">
        <f>IF(T$12=0,0,T20/T$12)</f>
        <v>0.66015624517523541</v>
      </c>
      <c r="W20" s="17"/>
      <c r="X20" s="21">
        <f>+P20-T20</f>
        <v>-535647.02</v>
      </c>
      <c r="Y20" s="17"/>
      <c r="Z20" s="23">
        <f>IF(T20=0,0,X20/T20)</f>
        <v>-1.0021853431098322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8" t="s">
        <v>290</v>
      </c>
      <c r="C22" s="11"/>
      <c r="D22" s="22" cm="1">
        <f t="array" ref="D22">SUM(OSRRefD22x_0)</f>
        <v>19380.29</v>
      </c>
      <c r="E22" s="22"/>
      <c r="F22" s="33">
        <f t="shared" ref="F22:F53" si="0">IF(D$12=0,0,D22/D$12)</f>
        <v>0</v>
      </c>
      <c r="G22" s="22"/>
      <c r="H22" s="22" cm="1">
        <f t="array" ref="H22">SUM(OSRRefH22x_0)</f>
        <v>67813.087823440001</v>
      </c>
      <c r="I22" s="22"/>
      <c r="J22" s="33">
        <f t="shared" ref="J22:J53" si="1">IF(H$12=0,0,H22/H$12)</f>
        <v>0.37512218338407755</v>
      </c>
      <c r="K22" s="5"/>
      <c r="L22" s="22">
        <f t="shared" ref="L22:L53" si="2">+D22-H22</f>
        <v>-48432.79782344</v>
      </c>
      <c r="M22" s="5"/>
      <c r="N22" s="33">
        <f t="shared" ref="N22:N53" si="3">IF(H22=0,0,L22/H22)</f>
        <v>-0.71421018239931722</v>
      </c>
      <c r="O22" s="11"/>
      <c r="P22" s="22" cm="1">
        <f t="array" ref="P22">SUM(OSRRefP22x_0)</f>
        <v>173232.66000000003</v>
      </c>
      <c r="Q22" s="22"/>
      <c r="R22" s="33">
        <f t="shared" ref="R22:R53" si="4">IF(P$12=0,0,P22/P$12)</f>
        <v>0</v>
      </c>
      <c r="S22" s="22"/>
      <c r="T22" s="22" cm="1">
        <f t="array" ref="T22">SUM(OSRRefT22x_0)</f>
        <v>474722.5138593539</v>
      </c>
      <c r="U22" s="22"/>
      <c r="V22" s="33">
        <f t="shared" ref="V22:V53" si="5">IF(T$12=0,0,T22/T$12)</f>
        <v>0.58634863530567105</v>
      </c>
      <c r="W22" s="5"/>
      <c r="X22" s="22">
        <f t="shared" ref="X22:X53" si="6">+P22-T22</f>
        <v>-301489.85385935387</v>
      </c>
      <c r="Y22" s="5"/>
      <c r="Z22" s="33">
        <f t="shared" ref="Z22:Z53" si="7">IF(T22=0,0,X22/T22)</f>
        <v>-0.63508648748998731</v>
      </c>
    </row>
    <row r="23" spans="1:26" s="69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2910.92</v>
      </c>
      <c r="E23" s="2"/>
      <c r="F23" s="6">
        <f t="shared" si="0"/>
        <v>0</v>
      </c>
      <c r="G23" s="2"/>
      <c r="H23" s="2">
        <f>SUM(OSRRefH22_0x_0)</f>
        <v>13100.501746516931</v>
      </c>
      <c r="I23" s="2"/>
      <c r="J23" s="6">
        <f t="shared" si="1"/>
        <v>7.2468147024588064E-2</v>
      </c>
      <c r="K23" s="2"/>
      <c r="L23" s="2">
        <f t="shared" si="2"/>
        <v>-10189.581746516931</v>
      </c>
      <c r="M23" s="2"/>
      <c r="N23" s="6">
        <f t="shared" si="3"/>
        <v>-0.77780087691878408</v>
      </c>
      <c r="O23" s="14"/>
      <c r="P23" s="2">
        <f>SUM(OSRRefP22_0x_0)</f>
        <v>27078.15</v>
      </c>
      <c r="Q23" s="2"/>
      <c r="R23" s="6">
        <f t="shared" si="4"/>
        <v>0</v>
      </c>
      <c r="S23" s="2"/>
      <c r="T23" s="2">
        <f>SUM(OSRRefT22_0x_0)</f>
        <v>95752.685182430825</v>
      </c>
      <c r="U23" s="2"/>
      <c r="V23" s="6">
        <f t="shared" si="5"/>
        <v>0.11826794526160979</v>
      </c>
      <c r="W23" s="2"/>
      <c r="X23" s="2">
        <f t="shared" si="6"/>
        <v>-68674.535182430816</v>
      </c>
      <c r="Y23" s="2"/>
      <c r="Z23" s="6">
        <f t="shared" si="7"/>
        <v>-0.71720740835194419</v>
      </c>
    </row>
    <row r="24" spans="1:26" s="70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7">
        <v>647</v>
      </c>
      <c r="E24" s="3"/>
      <c r="F24" s="8">
        <f t="shared" si="0"/>
        <v>0</v>
      </c>
      <c r="G24" s="3"/>
      <c r="H24" s="7">
        <v>1354.1313803630801</v>
      </c>
      <c r="I24" s="3"/>
      <c r="J24" s="8">
        <f t="shared" si="1"/>
        <v>7.4906590496696471E-3</v>
      </c>
      <c r="K24" s="3"/>
      <c r="L24" s="7">
        <f t="shared" si="2"/>
        <v>-707.1313803630801</v>
      </c>
      <c r="M24" s="3"/>
      <c r="N24" s="8">
        <f t="shared" si="3"/>
        <v>-0.52220293438106324</v>
      </c>
      <c r="O24" s="12"/>
      <c r="P24" s="7">
        <v>4277.16</v>
      </c>
      <c r="Q24" s="3"/>
      <c r="R24" s="8">
        <f t="shared" si="4"/>
        <v>0</v>
      </c>
      <c r="S24" s="3"/>
      <c r="T24" s="7">
        <v>9221.9810901230794</v>
      </c>
      <c r="U24" s="3"/>
      <c r="V24" s="8">
        <f t="shared" si="5"/>
        <v>1.139043518928279E-2</v>
      </c>
      <c r="W24" s="3"/>
      <c r="X24" s="7">
        <f t="shared" si="6"/>
        <v>-4944.8210901230796</v>
      </c>
      <c r="Y24" s="3"/>
      <c r="Z24" s="8">
        <f t="shared" si="7"/>
        <v>-0.53619943933945813</v>
      </c>
    </row>
    <row r="25" spans="1:26" s="70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7">
        <v>237.03</v>
      </c>
      <c r="E25" s="3"/>
      <c r="F25" s="8">
        <f t="shared" si="0"/>
        <v>0</v>
      </c>
      <c r="G25" s="3"/>
      <c r="H25" s="7">
        <v>1294.3935805846199</v>
      </c>
      <c r="I25" s="3"/>
      <c r="J25" s="8">
        <f t="shared" si="1"/>
        <v>7.1602069997379076E-3</v>
      </c>
      <c r="K25" s="3"/>
      <c r="L25" s="7">
        <f t="shared" si="2"/>
        <v>-1057.36358058462</v>
      </c>
      <c r="M25" s="3"/>
      <c r="N25" s="8">
        <f t="shared" si="3"/>
        <v>-0.81687949974771656</v>
      </c>
      <c r="O25" s="12"/>
      <c r="P25" s="7">
        <v>1851.68</v>
      </c>
      <c r="Q25" s="3"/>
      <c r="R25" s="8">
        <f t="shared" si="4"/>
        <v>0</v>
      </c>
      <c r="S25" s="3"/>
      <c r="T25" s="7">
        <v>7876.0701353846198</v>
      </c>
      <c r="U25" s="3"/>
      <c r="V25" s="8">
        <f t="shared" si="5"/>
        <v>9.7280471025284788E-3</v>
      </c>
      <c r="W25" s="3"/>
      <c r="X25" s="7">
        <f t="shared" si="6"/>
        <v>-6024.3901353846195</v>
      </c>
      <c r="Y25" s="3"/>
      <c r="Z25" s="8">
        <f t="shared" si="7"/>
        <v>-0.76489797980835583</v>
      </c>
    </row>
    <row r="26" spans="1:26" s="70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7">
        <v>652.17999999999995</v>
      </c>
      <c r="E26" s="3"/>
      <c r="F26" s="8">
        <f t="shared" si="0"/>
        <v>0</v>
      </c>
      <c r="G26" s="3"/>
      <c r="H26" s="7">
        <v>6800.09230769231</v>
      </c>
      <c r="I26" s="3"/>
      <c r="J26" s="8">
        <f t="shared" si="1"/>
        <v>3.7616123311127084E-2</v>
      </c>
      <c r="K26" s="3"/>
      <c r="L26" s="7">
        <f t="shared" si="2"/>
        <v>-6147.9123076923097</v>
      </c>
      <c r="M26" s="3"/>
      <c r="N26" s="8">
        <f t="shared" si="3"/>
        <v>-0.90409247838264639</v>
      </c>
      <c r="O26" s="12"/>
      <c r="P26" s="7">
        <v>12705.98</v>
      </c>
      <c r="Q26" s="3"/>
      <c r="R26" s="8">
        <f t="shared" si="4"/>
        <v>0</v>
      </c>
      <c r="S26" s="3"/>
      <c r="T26" s="7">
        <v>53388.996153846201</v>
      </c>
      <c r="U26" s="3"/>
      <c r="V26" s="8">
        <f t="shared" si="5"/>
        <v>6.5942870037173015E-2</v>
      </c>
      <c r="W26" s="3"/>
      <c r="X26" s="7">
        <f t="shared" si="6"/>
        <v>-40683.016153846198</v>
      </c>
      <c r="Y26" s="3"/>
      <c r="Z26" s="8">
        <f t="shared" si="7"/>
        <v>-0.76201125858620122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7">
        <v>17.12</v>
      </c>
      <c r="E27" s="3"/>
      <c r="F27" s="8">
        <f t="shared" si="0"/>
        <v>0</v>
      </c>
      <c r="G27" s="3"/>
      <c r="H27" s="7">
        <v>71.721016338461496</v>
      </c>
      <c r="I27" s="3"/>
      <c r="J27" s="8">
        <f t="shared" si="1"/>
        <v>3.9673970183244178E-4</v>
      </c>
      <c r="K27" s="3"/>
      <c r="L27" s="7">
        <f t="shared" si="2"/>
        <v>-54.601016338461491</v>
      </c>
      <c r="M27" s="3"/>
      <c r="N27" s="8">
        <f t="shared" si="3"/>
        <v>-0.76129730344020319</v>
      </c>
      <c r="O27" s="12"/>
      <c r="P27" s="7">
        <v>135.11000000000001</v>
      </c>
      <c r="Q27" s="3"/>
      <c r="R27" s="8">
        <f t="shared" si="4"/>
        <v>0</v>
      </c>
      <c r="S27" s="3"/>
      <c r="T27" s="7">
        <v>436.404941538461</v>
      </c>
      <c r="U27" s="3"/>
      <c r="V27" s="8">
        <f t="shared" si="5"/>
        <v>5.390210795596245E-4</v>
      </c>
      <c r="W27" s="3"/>
      <c r="X27" s="7">
        <f t="shared" si="6"/>
        <v>-301.29494153846099</v>
      </c>
      <c r="Y27" s="3"/>
      <c r="Z27" s="8">
        <f t="shared" si="7"/>
        <v>-0.69040222247783012</v>
      </c>
    </row>
    <row r="28" spans="1:26" s="70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7">
        <v>609.54</v>
      </c>
      <c r="E28" s="3"/>
      <c r="F28" s="8">
        <f t="shared" si="0"/>
        <v>0</v>
      </c>
      <c r="G28" s="3"/>
      <c r="H28" s="7">
        <v>530.88461538461502</v>
      </c>
      <c r="I28" s="3"/>
      <c r="J28" s="8">
        <f t="shared" si="1"/>
        <v>2.9366985406503905E-3</v>
      </c>
      <c r="K28" s="3"/>
      <c r="L28" s="7">
        <f t="shared" si="2"/>
        <v>78.655384615384946</v>
      </c>
      <c r="M28" s="3"/>
      <c r="N28" s="8">
        <f t="shared" si="3"/>
        <v>0.14815909584872927</v>
      </c>
      <c r="O28" s="12"/>
      <c r="P28" s="7">
        <v>2333.06</v>
      </c>
      <c r="Q28" s="3"/>
      <c r="R28" s="8">
        <f t="shared" si="4"/>
        <v>0</v>
      </c>
      <c r="S28" s="3"/>
      <c r="T28" s="7">
        <v>1911.18461538461</v>
      </c>
      <c r="U28" s="3"/>
      <c r="V28" s="8">
        <f t="shared" si="5"/>
        <v>2.360580040617088E-3</v>
      </c>
      <c r="W28" s="3"/>
      <c r="X28" s="7">
        <f t="shared" si="6"/>
        <v>421.87538461538998</v>
      </c>
      <c r="Y28" s="3"/>
      <c r="Z28" s="8">
        <f t="shared" si="7"/>
        <v>0.22074025775395387</v>
      </c>
    </row>
    <row r="29" spans="1:26" s="70" customFormat="1" ht="15" hidden="1" customHeight="1" outlineLevel="2" x14ac:dyDescent="0.3">
      <c r="A29" s="26"/>
      <c r="B29" s="12" t="str">
        <f>CONCATENATE("          ","6116"," - ","EDUCATIONAL BENEFITS")</f>
        <v xml:space="preserve">          6116 - EDUCATIONAL BENEFITS</v>
      </c>
      <c r="C29" s="12"/>
      <c r="D29" s="7"/>
      <c r="E29" s="3"/>
      <c r="F29" s="8">
        <f t="shared" si="0"/>
        <v>0</v>
      </c>
      <c r="G29" s="3"/>
      <c r="H29" s="7">
        <v>0</v>
      </c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0</v>
      </c>
      <c r="U29" s="3"/>
      <c r="V29" s="8">
        <f t="shared" si="5"/>
        <v>0</v>
      </c>
      <c r="W29" s="3"/>
      <c r="X29" s="7">
        <f t="shared" si="6"/>
        <v>0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","6118"," - ","VACATION")</f>
        <v xml:space="preserve">          6118 - VACATION</v>
      </c>
      <c r="C30" s="12"/>
      <c r="D30" s="7">
        <v>319.86</v>
      </c>
      <c r="E30" s="3"/>
      <c r="F30" s="8">
        <f t="shared" si="0"/>
        <v>0</v>
      </c>
      <c r="G30" s="3"/>
      <c r="H30" s="7">
        <v>487.03934769230801</v>
      </c>
      <c r="I30" s="3"/>
      <c r="J30" s="8">
        <f t="shared" si="1"/>
        <v>2.6941593336079349E-3</v>
      </c>
      <c r="K30" s="3"/>
      <c r="L30" s="7">
        <f t="shared" si="2"/>
        <v>-167.179347692308</v>
      </c>
      <c r="M30" s="3"/>
      <c r="N30" s="8">
        <f t="shared" si="3"/>
        <v>-0.34325634773543023</v>
      </c>
      <c r="O30" s="12"/>
      <c r="P30" s="7">
        <v>1990.76</v>
      </c>
      <c r="Q30" s="3"/>
      <c r="R30" s="8">
        <f t="shared" si="4"/>
        <v>0</v>
      </c>
      <c r="S30" s="3"/>
      <c r="T30" s="7">
        <v>3245.53790769231</v>
      </c>
      <c r="U30" s="3"/>
      <c r="V30" s="8">
        <f t="shared" si="5"/>
        <v>4.0086927993729319E-3</v>
      </c>
      <c r="W30" s="3"/>
      <c r="X30" s="7">
        <f t="shared" si="6"/>
        <v>-1254.77790769231</v>
      </c>
      <c r="Y30" s="3"/>
      <c r="Z30" s="8">
        <f t="shared" si="7"/>
        <v>-0.38661631550145736</v>
      </c>
    </row>
    <row r="31" spans="1:26" s="70" customFormat="1" ht="15" hidden="1" customHeight="1" outlineLevel="2" x14ac:dyDescent="0.3">
      <c r="A31" s="26"/>
      <c r="B31" s="12" t="str">
        <f>CONCATENATE("          ","6119"," - ","SICK LEAVE")</f>
        <v xml:space="preserve">          6119 - SICK LEAVE</v>
      </c>
      <c r="C31" s="12"/>
      <c r="D31" s="7">
        <v>383.19</v>
      </c>
      <c r="E31" s="3"/>
      <c r="F31" s="8">
        <f t="shared" si="0"/>
        <v>0</v>
      </c>
      <c r="G31" s="3"/>
      <c r="H31" s="7">
        <v>862.23949846153903</v>
      </c>
      <c r="I31" s="3"/>
      <c r="J31" s="8">
        <f t="shared" si="1"/>
        <v>4.7696569149751024E-3</v>
      </c>
      <c r="K31" s="3"/>
      <c r="L31" s="7">
        <f t="shared" si="2"/>
        <v>-479.04949846153903</v>
      </c>
      <c r="M31" s="3"/>
      <c r="N31" s="8">
        <f t="shared" si="3"/>
        <v>-0.555587512885096</v>
      </c>
      <c r="O31" s="12"/>
      <c r="P31" s="7">
        <v>2206.2199999999998</v>
      </c>
      <c r="Q31" s="3"/>
      <c r="R31" s="8">
        <f t="shared" si="4"/>
        <v>0</v>
      </c>
      <c r="S31" s="3"/>
      <c r="T31" s="7">
        <v>5152.5103384615404</v>
      </c>
      <c r="U31" s="3"/>
      <c r="V31" s="8">
        <f t="shared" si="5"/>
        <v>6.3640702034417664E-3</v>
      </c>
      <c r="W31" s="3"/>
      <c r="X31" s="7">
        <f t="shared" si="6"/>
        <v>-2946.2903384615406</v>
      </c>
      <c r="Y31" s="3"/>
      <c r="Z31" s="8">
        <f t="shared" si="7"/>
        <v>-0.57181648263150442</v>
      </c>
    </row>
    <row r="32" spans="1:26" s="70" customFormat="1" ht="15" hidden="1" customHeight="1" outlineLevel="2" x14ac:dyDescent="0.3">
      <c r="A32" s="26"/>
      <c r="B32" s="12" t="str">
        <f>CONCATENATE("          ","6156"," - ","EMPLOYEE MEALS")</f>
        <v xml:space="preserve">          6156 - EMPLOYEE MEALS</v>
      </c>
      <c r="C32" s="12"/>
      <c r="D32" s="7">
        <v>45</v>
      </c>
      <c r="E32" s="3"/>
      <c r="F32" s="8">
        <f t="shared" si="0"/>
        <v>0</v>
      </c>
      <c r="G32" s="3"/>
      <c r="H32" s="7">
        <v>1700</v>
      </c>
      <c r="I32" s="3"/>
      <c r="J32" s="8">
        <f t="shared" si="1"/>
        <v>9.4039031729875652E-3</v>
      </c>
      <c r="K32" s="3"/>
      <c r="L32" s="7">
        <f t="shared" si="2"/>
        <v>-1655</v>
      </c>
      <c r="M32" s="3"/>
      <c r="N32" s="8">
        <f t="shared" si="3"/>
        <v>-0.97352941176470587</v>
      </c>
      <c r="O32" s="12"/>
      <c r="P32" s="7">
        <v>1578.18</v>
      </c>
      <c r="Q32" s="3"/>
      <c r="R32" s="8">
        <f t="shared" si="4"/>
        <v>0</v>
      </c>
      <c r="S32" s="3"/>
      <c r="T32" s="7">
        <v>14520</v>
      </c>
      <c r="U32" s="3"/>
      <c r="V32" s="8">
        <f t="shared" si="5"/>
        <v>1.7934228809634089E-2</v>
      </c>
      <c r="W32" s="3"/>
      <c r="X32" s="7">
        <f t="shared" si="6"/>
        <v>-12941.82</v>
      </c>
      <c r="Y32" s="3"/>
      <c r="Z32" s="8">
        <f t="shared" si="7"/>
        <v>-0.89130991735537191</v>
      </c>
    </row>
    <row r="33" spans="1:26" s="69" customFormat="1" ht="15" customHeight="1" outlineLevel="1" collapsed="1" x14ac:dyDescent="0.3">
      <c r="A33" s="25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7403.37</v>
      </c>
      <c r="E33" s="2"/>
      <c r="F33" s="6">
        <f t="shared" si="0"/>
        <v>0</v>
      </c>
      <c r="G33" s="2"/>
      <c r="H33" s="2">
        <f>SUM(OSRRefH22_1x_0)</f>
        <v>32803.586076923079</v>
      </c>
      <c r="I33" s="2"/>
      <c r="J33" s="6">
        <f t="shared" si="1"/>
        <v>0.18145985129067507</v>
      </c>
      <c r="K33" s="2"/>
      <c r="L33" s="2">
        <f t="shared" si="2"/>
        <v>-25400.21607692308</v>
      </c>
      <c r="M33" s="2"/>
      <c r="N33" s="6">
        <f t="shared" si="3"/>
        <v>-0.77431217481407688</v>
      </c>
      <c r="O33" s="14"/>
      <c r="P33" s="2">
        <f>SUM(OSRRefP22_1x_0)</f>
        <v>54842.079999999994</v>
      </c>
      <c r="Q33" s="2"/>
      <c r="R33" s="6">
        <f t="shared" si="4"/>
        <v>0</v>
      </c>
      <c r="S33" s="2"/>
      <c r="T33" s="2">
        <f>SUM(OSRRefT22_1x_0)</f>
        <v>199413.82867692312</v>
      </c>
      <c r="U33" s="2"/>
      <c r="V33" s="6">
        <f t="shared" si="5"/>
        <v>0.24630394154938784</v>
      </c>
      <c r="W33" s="2"/>
      <c r="X33" s="2">
        <f t="shared" si="6"/>
        <v>-144571.74867692313</v>
      </c>
      <c r="Y33" s="2"/>
      <c r="Z33" s="6">
        <f t="shared" si="7"/>
        <v>-0.72498356626585092</v>
      </c>
    </row>
    <row r="34" spans="1:26" s="70" customFormat="1" ht="15" hidden="1" customHeight="1" outlineLevel="2" x14ac:dyDescent="0.3">
      <c r="A34" s="26"/>
      <c r="B34" s="12" t="str">
        <f>CONCATENATE("          ","6001"," - ","ADMINISTRATIVE SALARIES")</f>
        <v xml:space="preserve">          6001 - ADMINISTRATIVE SALARIES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7">
        <v>6922.72</v>
      </c>
      <c r="E35" s="3"/>
      <c r="F35" s="8">
        <f t="shared" si="0"/>
        <v>0</v>
      </c>
      <c r="G35" s="3"/>
      <c r="H35" s="7">
        <v>5864.4230769230799</v>
      </c>
      <c r="I35" s="3"/>
      <c r="J35" s="8">
        <f t="shared" si="1"/>
        <v>3.2440274576952026E-2</v>
      </c>
      <c r="K35" s="3"/>
      <c r="L35" s="7">
        <f t="shared" si="2"/>
        <v>1058.2969230769204</v>
      </c>
      <c r="M35" s="3"/>
      <c r="N35" s="8">
        <f t="shared" si="3"/>
        <v>0.18046053451385419</v>
      </c>
      <c r="O35" s="12"/>
      <c r="P35" s="7">
        <v>31015.48</v>
      </c>
      <c r="Q35" s="3"/>
      <c r="R35" s="8">
        <f t="shared" si="4"/>
        <v>0</v>
      </c>
      <c r="S35" s="3"/>
      <c r="T35" s="7">
        <v>21111.9230769231</v>
      </c>
      <c r="U35" s="3"/>
      <c r="V35" s="8">
        <f t="shared" si="5"/>
        <v>2.6076174867281889E-2</v>
      </c>
      <c r="W35" s="3"/>
      <c r="X35" s="7">
        <f t="shared" si="6"/>
        <v>9903.5569230768997</v>
      </c>
      <c r="Y35" s="3"/>
      <c r="Z35" s="8">
        <f t="shared" si="7"/>
        <v>0.46909781202747103</v>
      </c>
    </row>
    <row r="36" spans="1:26" s="70" customFormat="1" ht="15" hidden="1" customHeight="1" outlineLevel="2" x14ac:dyDescent="0.3">
      <c r="A36" s="26"/>
      <c r="B36" s="12" t="str">
        <f>CONCATENATE("          ","6003"," - ","STAFF HOURLY-9 MONTH")</f>
        <v xml:space="preserve">          6003 - STAFF HOURLY-9 MONTH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","6004"," - ","STAFF HOURLY")</f>
        <v xml:space="preserve">          6004 - STAFF HOURLY</v>
      </c>
      <c r="C37" s="12"/>
      <c r="D37" s="7"/>
      <c r="E37" s="3"/>
      <c r="F37" s="8">
        <f t="shared" si="0"/>
        <v>0</v>
      </c>
      <c r="G37" s="3"/>
      <c r="H37" s="7">
        <v>9558.4896000000008</v>
      </c>
      <c r="I37" s="3"/>
      <c r="J37" s="8">
        <f t="shared" si="1"/>
        <v>5.2874770987299202E-2</v>
      </c>
      <c r="K37" s="3"/>
      <c r="L37" s="7">
        <f t="shared" si="2"/>
        <v>-9558.4896000000008</v>
      </c>
      <c r="M37" s="3"/>
      <c r="N37" s="8">
        <f t="shared" si="3"/>
        <v>-1</v>
      </c>
      <c r="O37" s="12"/>
      <c r="P37" s="7">
        <v>14370.65</v>
      </c>
      <c r="Q37" s="3"/>
      <c r="R37" s="8">
        <f t="shared" si="4"/>
        <v>0</v>
      </c>
      <c r="S37" s="3"/>
      <c r="T37" s="7">
        <v>81663.444000000003</v>
      </c>
      <c r="U37" s="3"/>
      <c r="V37" s="8">
        <f t="shared" si="5"/>
        <v>0.10086576377952756</v>
      </c>
      <c r="W37" s="3"/>
      <c r="X37" s="7">
        <f t="shared" si="6"/>
        <v>-67292.794000000009</v>
      </c>
      <c r="Y37" s="3"/>
      <c r="Z37" s="8">
        <f t="shared" si="7"/>
        <v>-0.82402591298990535</v>
      </c>
    </row>
    <row r="38" spans="1:26" s="70" customFormat="1" ht="15" hidden="1" customHeight="1" outlineLevel="2" x14ac:dyDescent="0.3">
      <c r="A38" s="26"/>
      <c r="B38" s="12" t="str">
        <f>CONCATENATE("          ","6005"," - ","TEMPORARY WAGES-HOURLY")</f>
        <v xml:space="preserve">          6005 - TEMPORARY WAGES-HOURLY</v>
      </c>
      <c r="C38" s="12"/>
      <c r="D38" s="7"/>
      <c r="E38" s="3"/>
      <c r="F38" s="8">
        <f t="shared" si="0"/>
        <v>0</v>
      </c>
      <c r="G38" s="3"/>
      <c r="H38" s="7">
        <v>5197.8032000000003</v>
      </c>
      <c r="I38" s="3"/>
      <c r="J38" s="8">
        <f t="shared" si="1"/>
        <v>2.8752728238261718E-2</v>
      </c>
      <c r="K38" s="3"/>
      <c r="L38" s="7">
        <f t="shared" si="2"/>
        <v>-5197.8032000000003</v>
      </c>
      <c r="M38" s="3"/>
      <c r="N38" s="8">
        <f t="shared" si="3"/>
        <v>-1</v>
      </c>
      <c r="O38" s="12"/>
      <c r="P38" s="7">
        <v>8246.0499999999993</v>
      </c>
      <c r="Q38" s="3"/>
      <c r="R38" s="8">
        <f t="shared" si="4"/>
        <v>0</v>
      </c>
      <c r="S38" s="3"/>
      <c r="T38" s="7">
        <v>41218.481599999999</v>
      </c>
      <c r="U38" s="3"/>
      <c r="V38" s="8">
        <f t="shared" si="5"/>
        <v>5.0910584035819051E-2</v>
      </c>
      <c r="W38" s="3"/>
      <c r="X38" s="7">
        <f t="shared" si="6"/>
        <v>-32972.431599999996</v>
      </c>
      <c r="Y38" s="3"/>
      <c r="Z38" s="8">
        <f t="shared" si="7"/>
        <v>-0.79994289745986169</v>
      </c>
    </row>
    <row r="39" spans="1:26" s="70" customFormat="1" ht="15" hidden="1" customHeight="1" outlineLevel="2" x14ac:dyDescent="0.3">
      <c r="A39" s="26"/>
      <c r="B39" s="12" t="str">
        <f>CONCATENATE("          ","6006"," - ","TEMPORARY PART TIME")</f>
        <v xml:space="preserve">          6006 - TEMPORARY PART TIME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","6007"," - ","STUDENT HOURLY")</f>
        <v xml:space="preserve">          6007 - STUDENT HOURLY</v>
      </c>
      <c r="C40" s="12"/>
      <c r="D40" s="7">
        <v>480.65</v>
      </c>
      <c r="E40" s="3"/>
      <c r="F40" s="8">
        <f t="shared" si="0"/>
        <v>0</v>
      </c>
      <c r="G40" s="3"/>
      <c r="H40" s="7">
        <v>1415.6956</v>
      </c>
      <c r="I40" s="3"/>
      <c r="J40" s="8">
        <f t="shared" si="1"/>
        <v>7.83121432048502E-3</v>
      </c>
      <c r="K40" s="3"/>
      <c r="L40" s="7">
        <f t="shared" si="2"/>
        <v>-935.04560000000004</v>
      </c>
      <c r="M40" s="3"/>
      <c r="N40" s="8">
        <f t="shared" si="3"/>
        <v>-0.66048492345388377</v>
      </c>
      <c r="O40" s="12"/>
      <c r="P40" s="7">
        <v>1209.9000000000001</v>
      </c>
      <c r="Q40" s="3"/>
      <c r="R40" s="8">
        <f t="shared" si="4"/>
        <v>0</v>
      </c>
      <c r="S40" s="3"/>
      <c r="T40" s="7">
        <v>11947.412399999999</v>
      </c>
      <c r="U40" s="3"/>
      <c r="V40" s="8">
        <f t="shared" si="5"/>
        <v>1.4756723668364983E-2</v>
      </c>
      <c r="W40" s="3"/>
      <c r="X40" s="7">
        <f t="shared" si="6"/>
        <v>-10737.5124</v>
      </c>
      <c r="Y40" s="3"/>
      <c r="Z40" s="8">
        <f t="shared" si="7"/>
        <v>-0.8987312097806216</v>
      </c>
    </row>
    <row r="41" spans="1:26" s="70" customFormat="1" ht="15" hidden="1" customHeight="1" outlineLevel="2" x14ac:dyDescent="0.3">
      <c r="A41" s="26"/>
      <c r="B41" s="12" t="str">
        <f>CONCATENATE("          ","6008"," - ","STUDENT HOURLY-FICA EXEMPT")</f>
        <v xml:space="preserve">          6008 - STUDENT HOURLY-FICA EXEMPT</v>
      </c>
      <c r="C41" s="12"/>
      <c r="D41" s="7"/>
      <c r="E41" s="3"/>
      <c r="F41" s="8">
        <f t="shared" si="0"/>
        <v>0</v>
      </c>
      <c r="G41" s="3"/>
      <c r="H41" s="7">
        <v>10767.1746</v>
      </c>
      <c r="I41" s="3"/>
      <c r="J41" s="8">
        <f t="shared" si="1"/>
        <v>5.9560863167677128E-2</v>
      </c>
      <c r="K41" s="3"/>
      <c r="L41" s="7">
        <f t="shared" si="2"/>
        <v>-10767.1746</v>
      </c>
      <c r="M41" s="3"/>
      <c r="N41" s="8">
        <f t="shared" si="3"/>
        <v>-1</v>
      </c>
      <c r="O41" s="12"/>
      <c r="P41" s="7"/>
      <c r="Q41" s="3"/>
      <c r="R41" s="8">
        <f t="shared" si="4"/>
        <v>0</v>
      </c>
      <c r="S41" s="3"/>
      <c r="T41" s="7">
        <v>43472.567600000002</v>
      </c>
      <c r="U41" s="3"/>
      <c r="V41" s="8">
        <f t="shared" si="5"/>
        <v>5.3694695198394322E-2</v>
      </c>
      <c r="W41" s="3"/>
      <c r="X41" s="7">
        <f t="shared" si="6"/>
        <v>-43472.567600000002</v>
      </c>
      <c r="Y41" s="3"/>
      <c r="Z41" s="8">
        <f t="shared" si="7"/>
        <v>-1</v>
      </c>
    </row>
    <row r="42" spans="1:26" s="70" customFormat="1" ht="15" hidden="1" customHeight="1" outlineLevel="2" x14ac:dyDescent="0.3">
      <c r="A42" s="26"/>
      <c r="B42" s="12" t="str">
        <f>CONCATENATE("          ","6009"," - ","TEMPORARY-SEASONAL")</f>
        <v xml:space="preserve">          6009 - TEMPORARY-SEASONAL</v>
      </c>
      <c r="C42" s="12"/>
      <c r="D42" s="7"/>
      <c r="E42" s="3"/>
      <c r="F42" s="8">
        <f t="shared" si="0"/>
        <v>0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/>
      <c r="Q42" s="3"/>
      <c r="R42" s="8">
        <f t="shared" si="4"/>
        <v>0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0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","6010"," - ","GRATUITY")</f>
        <v xml:space="preserve">          6010 - GRATUITY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0</v>
      </c>
      <c r="E44" s="2"/>
      <c r="F44" s="6">
        <f t="shared" si="0"/>
        <v>0</v>
      </c>
      <c r="G44" s="2"/>
      <c r="H44" s="2">
        <f>SUM(OSRRefH22_2x_0)</f>
        <v>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SUM(OSRRefP22_2x_0)</f>
        <v>263.58</v>
      </c>
      <c r="Q44" s="2"/>
      <c r="R44" s="6">
        <f t="shared" si="4"/>
        <v>0</v>
      </c>
      <c r="S44" s="2"/>
      <c r="T44" s="2">
        <f>SUM(OSRRefT22_2x_0)</f>
        <v>0</v>
      </c>
      <c r="U44" s="2"/>
      <c r="V44" s="6">
        <f t="shared" si="5"/>
        <v>0</v>
      </c>
      <c r="W44" s="2"/>
      <c r="X44" s="2">
        <f t="shared" si="6"/>
        <v>263.58</v>
      </c>
      <c r="Y44" s="2"/>
      <c r="Z44" s="6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","6362"," - ","ADVERTISING EXPENSE")</f>
        <v xml:space="preserve">          6362 - ADVERTISING EXPENSE</v>
      </c>
      <c r="C45" s="12"/>
      <c r="D45" s="7"/>
      <c r="E45" s="3"/>
      <c r="F45" s="8">
        <f t="shared" si="0"/>
        <v>0</v>
      </c>
      <c r="G45" s="3"/>
      <c r="H45" s="7"/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>
        <v>263.58</v>
      </c>
      <c r="Q45" s="3"/>
      <c r="R45" s="8">
        <f t="shared" si="4"/>
        <v>0</v>
      </c>
      <c r="S45" s="3"/>
      <c r="T45" s="7"/>
      <c r="U45" s="3"/>
      <c r="V45" s="8">
        <f t="shared" si="5"/>
        <v>0</v>
      </c>
      <c r="W45" s="3"/>
      <c r="X45" s="7">
        <f t="shared" si="6"/>
        <v>263.58</v>
      </c>
      <c r="Y45" s="3"/>
      <c r="Z45" s="8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SUM(OSRRefD22_3x_0)</f>
        <v>0</v>
      </c>
      <c r="E46" s="2"/>
      <c r="F46" s="6">
        <f t="shared" si="0"/>
        <v>0</v>
      </c>
      <c r="G46" s="2"/>
      <c r="H46" s="2">
        <f>SUM(OSRRefH22_3x_0)</f>
        <v>7226</v>
      </c>
      <c r="I46" s="2"/>
      <c r="J46" s="6">
        <f t="shared" si="1"/>
        <v>3.9972120192945965E-2</v>
      </c>
      <c r="K46" s="2"/>
      <c r="L46" s="2">
        <f t="shared" si="2"/>
        <v>-7226</v>
      </c>
      <c r="M46" s="2"/>
      <c r="N46" s="6">
        <f t="shared" si="3"/>
        <v>-1</v>
      </c>
      <c r="O46" s="14"/>
      <c r="P46" s="2">
        <f>SUM(OSRRefP22_3x_0)</f>
        <v>0.64</v>
      </c>
      <c r="Q46" s="2"/>
      <c r="R46" s="6">
        <f t="shared" si="4"/>
        <v>0</v>
      </c>
      <c r="S46" s="2"/>
      <c r="T46" s="2">
        <f>SUM(OSRRefT22_3x_0)</f>
        <v>32361</v>
      </c>
      <c r="U46" s="2"/>
      <c r="V46" s="6">
        <f t="shared" si="5"/>
        <v>3.9970356646595644E-2</v>
      </c>
      <c r="W46" s="2"/>
      <c r="X46" s="2">
        <f t="shared" si="6"/>
        <v>-32360.36</v>
      </c>
      <c r="Y46" s="2"/>
      <c r="Z46" s="6">
        <f t="shared" si="7"/>
        <v>-0.99998022310806223</v>
      </c>
    </row>
    <row r="47" spans="1:26" s="70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7"/>
      <c r="E47" s="3"/>
      <c r="F47" s="8">
        <f t="shared" si="0"/>
        <v>0</v>
      </c>
      <c r="G47" s="3"/>
      <c r="H47" s="7">
        <v>7226</v>
      </c>
      <c r="I47" s="3"/>
      <c r="J47" s="8">
        <f t="shared" si="1"/>
        <v>3.9972120192945965E-2</v>
      </c>
      <c r="K47" s="3"/>
      <c r="L47" s="7">
        <f t="shared" si="2"/>
        <v>-7226</v>
      </c>
      <c r="M47" s="3"/>
      <c r="N47" s="8">
        <f t="shared" si="3"/>
        <v>-1</v>
      </c>
      <c r="O47" s="12"/>
      <c r="P47" s="7">
        <v>0.64</v>
      </c>
      <c r="Q47" s="3"/>
      <c r="R47" s="8">
        <f t="shared" si="4"/>
        <v>0</v>
      </c>
      <c r="S47" s="3"/>
      <c r="T47" s="7">
        <v>32361</v>
      </c>
      <c r="U47" s="3"/>
      <c r="V47" s="8">
        <f t="shared" si="5"/>
        <v>3.9970356646595644E-2</v>
      </c>
      <c r="W47" s="3"/>
      <c r="X47" s="7">
        <f t="shared" si="6"/>
        <v>-32360.36</v>
      </c>
      <c r="Y47" s="3"/>
      <c r="Z47" s="8">
        <f t="shared" si="7"/>
        <v>-0.99998022310806223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SUM(OSRRefD22_4x_0)</f>
        <v>7300.18</v>
      </c>
      <c r="E48" s="2"/>
      <c r="F48" s="6">
        <f t="shared" si="0"/>
        <v>0</v>
      </c>
      <c r="G48" s="2"/>
      <c r="H48" s="2">
        <f>SUM(OSRRefH22_4x_0)</f>
        <v>6701</v>
      </c>
      <c r="I48" s="2"/>
      <c r="J48" s="6">
        <f t="shared" si="1"/>
        <v>3.7067973624817452E-2</v>
      </c>
      <c r="K48" s="2"/>
      <c r="L48" s="2">
        <f t="shared" si="2"/>
        <v>599.18000000000029</v>
      </c>
      <c r="M48" s="2"/>
      <c r="N48" s="6">
        <f t="shared" si="3"/>
        <v>8.9416504999253882E-2</v>
      </c>
      <c r="O48" s="14"/>
      <c r="P48" s="2">
        <f>SUM(OSRRefP22_4x_0)</f>
        <v>67698.039999999994</v>
      </c>
      <c r="Q48" s="2"/>
      <c r="R48" s="6">
        <f t="shared" si="4"/>
        <v>0</v>
      </c>
      <c r="S48" s="2"/>
      <c r="T48" s="2">
        <f>SUM(OSRRefT22_4x_0)</f>
        <v>67098</v>
      </c>
      <c r="U48" s="2"/>
      <c r="V48" s="6">
        <f t="shared" si="5"/>
        <v>8.2875405280222331E-2</v>
      </c>
      <c r="W48" s="2"/>
      <c r="X48" s="2">
        <f t="shared" si="6"/>
        <v>600.0399999999936</v>
      </c>
      <c r="Y48" s="2"/>
      <c r="Z48" s="6">
        <f t="shared" si="7"/>
        <v>8.9427404691644098E-3</v>
      </c>
    </row>
    <row r="49" spans="1:26" s="70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7">
        <v>6492.96</v>
      </c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6492.96</v>
      </c>
      <c r="M49" s="3"/>
      <c r="N49" s="8">
        <f t="shared" si="3"/>
        <v>0</v>
      </c>
      <c r="O49" s="12"/>
      <c r="P49" s="7">
        <v>65017.74</v>
      </c>
      <c r="Q49" s="3"/>
      <c r="R49" s="8">
        <f t="shared" si="4"/>
        <v>0</v>
      </c>
      <c r="S49" s="3"/>
      <c r="T49" s="7"/>
      <c r="U49" s="3"/>
      <c r="V49" s="8">
        <f t="shared" si="5"/>
        <v>0</v>
      </c>
      <c r="W49" s="3"/>
      <c r="X49" s="7">
        <f t="shared" si="6"/>
        <v>65017.74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807.22</v>
      </c>
      <c r="E50" s="3"/>
      <c r="F50" s="8">
        <f t="shared" si="0"/>
        <v>0</v>
      </c>
      <c r="G50" s="3"/>
      <c r="H50" s="7">
        <v>6701</v>
      </c>
      <c r="I50" s="3"/>
      <c r="J50" s="8">
        <f t="shared" si="1"/>
        <v>3.7067973624817452E-2</v>
      </c>
      <c r="K50" s="3"/>
      <c r="L50" s="7">
        <f t="shared" si="2"/>
        <v>-5893.78</v>
      </c>
      <c r="M50" s="3"/>
      <c r="N50" s="8">
        <f t="shared" si="3"/>
        <v>-0.87953738248022684</v>
      </c>
      <c r="O50" s="12"/>
      <c r="P50" s="7">
        <v>2680.3</v>
      </c>
      <c r="Q50" s="3"/>
      <c r="R50" s="8">
        <f t="shared" si="4"/>
        <v>0</v>
      </c>
      <c r="S50" s="3"/>
      <c r="T50" s="7">
        <v>67098</v>
      </c>
      <c r="U50" s="3"/>
      <c r="V50" s="8">
        <f t="shared" si="5"/>
        <v>8.2875405280222331E-2</v>
      </c>
      <c r="W50" s="3"/>
      <c r="X50" s="7">
        <f t="shared" si="6"/>
        <v>-64417.7</v>
      </c>
      <c r="Y50" s="3"/>
      <c r="Z50" s="8">
        <f t="shared" si="7"/>
        <v>-0.96005395093743473</v>
      </c>
    </row>
    <row r="51" spans="1:26" s="69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SUM(OSRRefD22_5x_0)</f>
        <v>0</v>
      </c>
      <c r="E51" s="2"/>
      <c r="F51" s="6">
        <f t="shared" si="0"/>
        <v>0</v>
      </c>
      <c r="G51" s="2"/>
      <c r="H51" s="2">
        <f>SUM(OSRRefH22_5x_0)</f>
        <v>20</v>
      </c>
      <c r="I51" s="2"/>
      <c r="J51" s="6">
        <f t="shared" si="1"/>
        <v>1.1063415497632429E-4</v>
      </c>
      <c r="K51" s="2"/>
      <c r="L51" s="2">
        <f t="shared" si="2"/>
        <v>-20</v>
      </c>
      <c r="M51" s="2"/>
      <c r="N51" s="6">
        <f t="shared" si="3"/>
        <v>-1</v>
      </c>
      <c r="O51" s="14"/>
      <c r="P51" s="2">
        <f>SUM(OSRRefP22_5x_0)</f>
        <v>49.95</v>
      </c>
      <c r="Q51" s="2"/>
      <c r="R51" s="6">
        <f t="shared" si="4"/>
        <v>0</v>
      </c>
      <c r="S51" s="2"/>
      <c r="T51" s="2">
        <f>SUM(OSRRefT22_5x_0)</f>
        <v>120</v>
      </c>
      <c r="U51" s="2"/>
      <c r="V51" s="6">
        <f t="shared" si="5"/>
        <v>1.4821676702176935E-4</v>
      </c>
      <c r="W51" s="2"/>
      <c r="X51" s="2">
        <f t="shared" si="6"/>
        <v>-70.05</v>
      </c>
      <c r="Y51" s="2"/>
      <c r="Z51" s="6">
        <f t="shared" si="7"/>
        <v>-0.58374999999999999</v>
      </c>
    </row>
    <row r="52" spans="1:26" s="70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7"/>
      <c r="E52" s="3"/>
      <c r="F52" s="8">
        <f t="shared" si="0"/>
        <v>0</v>
      </c>
      <c r="G52" s="3"/>
      <c r="H52" s="7">
        <v>20</v>
      </c>
      <c r="I52" s="3"/>
      <c r="J52" s="8">
        <f t="shared" si="1"/>
        <v>1.1063415497632429E-4</v>
      </c>
      <c r="K52" s="3"/>
      <c r="L52" s="7">
        <f t="shared" si="2"/>
        <v>-20</v>
      </c>
      <c r="M52" s="3"/>
      <c r="N52" s="8">
        <f t="shared" si="3"/>
        <v>-1</v>
      </c>
      <c r="O52" s="12"/>
      <c r="P52" s="7">
        <v>49.95</v>
      </c>
      <c r="Q52" s="3"/>
      <c r="R52" s="8">
        <f t="shared" si="4"/>
        <v>0</v>
      </c>
      <c r="S52" s="3"/>
      <c r="T52" s="7">
        <v>120</v>
      </c>
      <c r="U52" s="3"/>
      <c r="V52" s="8">
        <f t="shared" si="5"/>
        <v>1.4821676702176935E-4</v>
      </c>
      <c r="W52" s="3"/>
      <c r="X52" s="7">
        <f t="shared" si="6"/>
        <v>-70.05</v>
      </c>
      <c r="Y52" s="3"/>
      <c r="Z52" s="8">
        <f t="shared" si="7"/>
        <v>-0.58374999999999999</v>
      </c>
    </row>
    <row r="53" spans="1:26" s="69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SUM(OSRRefD22_6x_0)</f>
        <v>1294.4100000000001</v>
      </c>
      <c r="E53" s="2"/>
      <c r="F53" s="6">
        <f t="shared" si="0"/>
        <v>0</v>
      </c>
      <c r="G53" s="2"/>
      <c r="H53" s="2">
        <f>SUM(OSRRefH22_6x_0)</f>
        <v>200</v>
      </c>
      <c r="I53" s="2"/>
      <c r="J53" s="6">
        <f t="shared" si="1"/>
        <v>1.106341549763243E-3</v>
      </c>
      <c r="K53" s="2"/>
      <c r="L53" s="2">
        <f t="shared" si="2"/>
        <v>1094.4100000000001</v>
      </c>
      <c r="M53" s="2"/>
      <c r="N53" s="6">
        <f t="shared" si="3"/>
        <v>5.4720500000000003</v>
      </c>
      <c r="O53" s="14"/>
      <c r="P53" s="2">
        <f>SUM(OSRRefP22_6x_0)</f>
        <v>5751.67</v>
      </c>
      <c r="Q53" s="2"/>
      <c r="R53" s="6">
        <f t="shared" si="4"/>
        <v>0</v>
      </c>
      <c r="S53" s="2"/>
      <c r="T53" s="2">
        <f>SUM(OSRRefT22_6x_0)</f>
        <v>2000</v>
      </c>
      <c r="U53" s="2"/>
      <c r="V53" s="6">
        <f t="shared" si="5"/>
        <v>2.4702794503628223E-3</v>
      </c>
      <c r="W53" s="2"/>
      <c r="X53" s="2">
        <f t="shared" si="6"/>
        <v>3751.67</v>
      </c>
      <c r="Y53" s="2"/>
      <c r="Z53" s="6">
        <f t="shared" si="7"/>
        <v>1.8758350000000001</v>
      </c>
    </row>
    <row r="54" spans="1:26" s="70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7">
        <v>1294.4100000000001</v>
      </c>
      <c r="E54" s="3"/>
      <c r="F54" s="8">
        <f t="shared" ref="F54:F85" si="8">IF(D$12=0,0,D54/D$12)</f>
        <v>0</v>
      </c>
      <c r="G54" s="3"/>
      <c r="H54" s="7">
        <v>200</v>
      </c>
      <c r="I54" s="3"/>
      <c r="J54" s="8">
        <f t="shared" ref="J54:J85" si="9">IF(H$12=0,0,H54/H$12)</f>
        <v>1.106341549763243E-3</v>
      </c>
      <c r="K54" s="3"/>
      <c r="L54" s="7">
        <f t="shared" ref="L54:L85" si="10">+D54-H54</f>
        <v>1094.4100000000001</v>
      </c>
      <c r="M54" s="3"/>
      <c r="N54" s="8">
        <f t="shared" ref="N54:N85" si="11">IF(H54=0,0,L54/H54)</f>
        <v>5.4720500000000003</v>
      </c>
      <c r="O54" s="12"/>
      <c r="P54" s="7">
        <v>5751.67</v>
      </c>
      <c r="Q54" s="3"/>
      <c r="R54" s="8">
        <f t="shared" ref="R54:R85" si="12">IF(P$12=0,0,P54/P$12)</f>
        <v>0</v>
      </c>
      <c r="S54" s="3"/>
      <c r="T54" s="7">
        <v>2000</v>
      </c>
      <c r="U54" s="3"/>
      <c r="V54" s="8">
        <f t="shared" ref="V54:V85" si="13">IF(T$12=0,0,T54/T$12)</f>
        <v>2.4702794503628223E-3</v>
      </c>
      <c r="W54" s="3"/>
      <c r="X54" s="7">
        <f t="shared" ref="X54:X85" si="14">+P54-T54</f>
        <v>3751.67</v>
      </c>
      <c r="Y54" s="3"/>
      <c r="Z54" s="8">
        <f t="shared" ref="Z54:Z85" si="15">IF(T54=0,0,X54/T54)</f>
        <v>1.8758350000000001</v>
      </c>
    </row>
    <row r="55" spans="1:26" s="69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SUM(OSRRefD22_7x_0)</f>
        <v>0</v>
      </c>
      <c r="E55" s="2"/>
      <c r="F55" s="6">
        <f t="shared" si="8"/>
        <v>0</v>
      </c>
      <c r="G55" s="2"/>
      <c r="H55" s="2">
        <f>SUM(OSRRefH22_7x_0)</f>
        <v>0</v>
      </c>
      <c r="I55" s="2"/>
      <c r="J55" s="6">
        <f t="shared" si="9"/>
        <v>0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SUM(OSRRefP22_7x_0)</f>
        <v>3074.55</v>
      </c>
      <c r="Q55" s="2"/>
      <c r="R55" s="6">
        <f t="shared" si="12"/>
        <v>0</v>
      </c>
      <c r="S55" s="2"/>
      <c r="T55" s="2">
        <f>SUM(OSRRefT22_7x_0)</f>
        <v>2400</v>
      </c>
      <c r="U55" s="2"/>
      <c r="V55" s="6">
        <f t="shared" si="13"/>
        <v>2.9643353404353867E-3</v>
      </c>
      <c r="W55" s="2"/>
      <c r="X55" s="2">
        <f t="shared" si="14"/>
        <v>674.55000000000018</v>
      </c>
      <c r="Y55" s="2"/>
      <c r="Z55" s="6">
        <f t="shared" si="15"/>
        <v>0.28106250000000005</v>
      </c>
    </row>
    <row r="56" spans="1:26" s="70" customFormat="1" ht="15" hidden="1" customHeight="1" outlineLevel="2" x14ac:dyDescent="0.3">
      <c r="A56" s="26"/>
      <c r="B56" s="12" t="str">
        <f>CONCATENATE("          ","6269"," - ","ENTERTAINMENT")</f>
        <v xml:space="preserve">          6269 - ENTERTAINMENT</v>
      </c>
      <c r="C56" s="12"/>
      <c r="D56" s="7"/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/>
      <c r="Q56" s="3"/>
      <c r="R56" s="8">
        <f t="shared" si="12"/>
        <v>0</v>
      </c>
      <c r="S56" s="3"/>
      <c r="T56" s="7">
        <v>500</v>
      </c>
      <c r="U56" s="3"/>
      <c r="V56" s="8">
        <f t="shared" si="13"/>
        <v>6.1756986259070556E-4</v>
      </c>
      <c r="W56" s="3"/>
      <c r="X56" s="7">
        <f t="shared" si="14"/>
        <v>-500</v>
      </c>
      <c r="Y56" s="3"/>
      <c r="Z56" s="8">
        <f t="shared" si="15"/>
        <v>-1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7"/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0</v>
      </c>
      <c r="M57" s="3"/>
      <c r="N57" s="8">
        <f t="shared" si="11"/>
        <v>0</v>
      </c>
      <c r="O57" s="12"/>
      <c r="P57" s="7">
        <v>3074.55</v>
      </c>
      <c r="Q57" s="3"/>
      <c r="R57" s="8">
        <f t="shared" si="12"/>
        <v>0</v>
      </c>
      <c r="S57" s="3"/>
      <c r="T57" s="7">
        <v>1900</v>
      </c>
      <c r="U57" s="3"/>
      <c r="V57" s="8">
        <f t="shared" si="13"/>
        <v>2.3467654778446811E-3</v>
      </c>
      <c r="W57" s="3"/>
      <c r="X57" s="7">
        <f t="shared" si="14"/>
        <v>1174.5500000000002</v>
      </c>
      <c r="Y57" s="3"/>
      <c r="Z57" s="8">
        <f t="shared" si="15"/>
        <v>0.61818421052631589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3212</v>
      </c>
      <c r="I58" s="2"/>
      <c r="J58" s="6">
        <f t="shared" si="9"/>
        <v>1.7767845289197681E-2</v>
      </c>
      <c r="K58" s="2"/>
      <c r="L58" s="2">
        <f t="shared" si="10"/>
        <v>-3212</v>
      </c>
      <c r="M58" s="2"/>
      <c r="N58" s="6">
        <f t="shared" si="11"/>
        <v>-1</v>
      </c>
      <c r="O58" s="14"/>
      <c r="P58" s="2">
        <f>SUM(OSRRefP22_8x_0)</f>
        <v>8715.57</v>
      </c>
      <c r="Q58" s="2"/>
      <c r="R58" s="6">
        <f t="shared" si="12"/>
        <v>0</v>
      </c>
      <c r="S58" s="2"/>
      <c r="T58" s="2">
        <f>SUM(OSRRefT22_8x_0)</f>
        <v>25202</v>
      </c>
      <c r="U58" s="2"/>
      <c r="V58" s="6">
        <f t="shared" si="13"/>
        <v>3.1127991354021924E-2</v>
      </c>
      <c r="W58" s="2"/>
      <c r="X58" s="2">
        <f t="shared" si="14"/>
        <v>-16486.43</v>
      </c>
      <c r="Y58" s="2"/>
      <c r="Z58" s="6">
        <f t="shared" si="15"/>
        <v>-0.6541714943258472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7"/>
      <c r="E59" s="3"/>
      <c r="F59" s="8">
        <f t="shared" si="8"/>
        <v>0</v>
      </c>
      <c r="G59" s="3"/>
      <c r="H59" s="7">
        <v>500</v>
      </c>
      <c r="I59" s="3"/>
      <c r="J59" s="8">
        <f t="shared" si="9"/>
        <v>2.7658538744081071E-3</v>
      </c>
      <c r="K59" s="3"/>
      <c r="L59" s="7">
        <f t="shared" si="10"/>
        <v>-500</v>
      </c>
      <c r="M59" s="3"/>
      <c r="N59" s="8">
        <f t="shared" si="11"/>
        <v>-1</v>
      </c>
      <c r="O59" s="12"/>
      <c r="P59" s="7">
        <v>3567.59</v>
      </c>
      <c r="Q59" s="3"/>
      <c r="R59" s="8">
        <f t="shared" si="12"/>
        <v>0</v>
      </c>
      <c r="S59" s="3"/>
      <c r="T59" s="7">
        <v>2000</v>
      </c>
      <c r="U59" s="3"/>
      <c r="V59" s="8">
        <f t="shared" si="13"/>
        <v>2.4702794503628223E-3</v>
      </c>
      <c r="W59" s="3"/>
      <c r="X59" s="7">
        <f t="shared" si="14"/>
        <v>1567.5900000000001</v>
      </c>
      <c r="Y59" s="3"/>
      <c r="Z59" s="8">
        <f t="shared" si="15"/>
        <v>0.78379500000000002</v>
      </c>
    </row>
    <row r="60" spans="1:26" s="70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7">
        <v>0</v>
      </c>
      <c r="E60" s="3"/>
      <c r="F60" s="8">
        <f t="shared" si="8"/>
        <v>0</v>
      </c>
      <c r="G60" s="3"/>
      <c r="H60" s="7">
        <v>2712</v>
      </c>
      <c r="I60" s="3"/>
      <c r="J60" s="8">
        <f t="shared" si="9"/>
        <v>1.5001991414789573E-2</v>
      </c>
      <c r="K60" s="3"/>
      <c r="L60" s="7">
        <f t="shared" si="10"/>
        <v>-2712</v>
      </c>
      <c r="M60" s="3"/>
      <c r="N60" s="8">
        <f t="shared" si="11"/>
        <v>-1</v>
      </c>
      <c r="O60" s="12"/>
      <c r="P60" s="7">
        <v>5147.9799999999996</v>
      </c>
      <c r="Q60" s="3"/>
      <c r="R60" s="8">
        <f t="shared" si="12"/>
        <v>0</v>
      </c>
      <c r="S60" s="3"/>
      <c r="T60" s="7">
        <v>23202</v>
      </c>
      <c r="U60" s="3"/>
      <c r="V60" s="8">
        <f t="shared" si="13"/>
        <v>2.8657711903659101E-2</v>
      </c>
      <c r="W60" s="3"/>
      <c r="X60" s="7">
        <f t="shared" si="14"/>
        <v>-18054.02</v>
      </c>
      <c r="Y60" s="3"/>
      <c r="Z60" s="8">
        <f t="shared" si="15"/>
        <v>-0.77812343763468672</v>
      </c>
    </row>
    <row r="61" spans="1:26" s="69" customFormat="1" ht="15" customHeight="1" outlineLevel="1" collapsed="1" x14ac:dyDescent="0.3">
      <c r="A61" s="25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SUM(OSRRefD22_9x_0)</f>
        <v>0</v>
      </c>
      <c r="E61" s="2"/>
      <c r="F61" s="6">
        <f t="shared" si="8"/>
        <v>0</v>
      </c>
      <c r="G61" s="2"/>
      <c r="H61" s="2">
        <f>SUM(OSRRefH22_9x_0)</f>
        <v>3225</v>
      </c>
      <c r="I61" s="2"/>
      <c r="J61" s="6">
        <f t="shared" si="9"/>
        <v>1.783975748993229E-2</v>
      </c>
      <c r="K61" s="2"/>
      <c r="L61" s="2">
        <f t="shared" si="10"/>
        <v>-3225</v>
      </c>
      <c r="M61" s="2"/>
      <c r="N61" s="6">
        <f t="shared" si="11"/>
        <v>-1</v>
      </c>
      <c r="O61" s="14"/>
      <c r="P61" s="2">
        <f>SUM(OSRRefP22_9x_0)</f>
        <v>260</v>
      </c>
      <c r="Q61" s="2"/>
      <c r="R61" s="6">
        <f t="shared" si="12"/>
        <v>0</v>
      </c>
      <c r="S61" s="2"/>
      <c r="T61" s="2">
        <f>SUM(OSRRefT22_9x_0)</f>
        <v>29325</v>
      </c>
      <c r="U61" s="2"/>
      <c r="V61" s="6">
        <f t="shared" si="13"/>
        <v>3.6220472440944881E-2</v>
      </c>
      <c r="W61" s="2"/>
      <c r="X61" s="2">
        <f t="shared" si="14"/>
        <v>-29065</v>
      </c>
      <c r="Y61" s="2"/>
      <c r="Z61" s="6">
        <f t="shared" si="15"/>
        <v>-0.99113384484228473</v>
      </c>
    </row>
    <row r="62" spans="1:26" s="70" customFormat="1" ht="15" hidden="1" customHeight="1" outlineLevel="2" x14ac:dyDescent="0.3">
      <c r="A62" s="26"/>
      <c r="B62" s="12" t="str">
        <f>CONCATENATE("          ","6283"," - ","PLANT SERVICE")</f>
        <v xml:space="preserve">          6283 - PLANT SERVICE</v>
      </c>
      <c r="C62" s="12"/>
      <c r="D62" s="7"/>
      <c r="E62" s="3"/>
      <c r="F62" s="8">
        <f t="shared" si="8"/>
        <v>0</v>
      </c>
      <c r="G62" s="3"/>
      <c r="H62" s="7">
        <v>100</v>
      </c>
      <c r="I62" s="3"/>
      <c r="J62" s="8">
        <f t="shared" si="9"/>
        <v>5.5317077488162151E-4</v>
      </c>
      <c r="K62" s="3"/>
      <c r="L62" s="7">
        <f t="shared" si="10"/>
        <v>-100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1000</v>
      </c>
      <c r="U62" s="3"/>
      <c r="V62" s="8">
        <f t="shared" si="13"/>
        <v>1.2351397251814111E-3</v>
      </c>
      <c r="W62" s="3"/>
      <c r="X62" s="7">
        <f t="shared" si="14"/>
        <v>-1000</v>
      </c>
      <c r="Y62" s="3"/>
      <c r="Z62" s="8">
        <f t="shared" si="15"/>
        <v>-1</v>
      </c>
    </row>
    <row r="63" spans="1:26" s="70" customFormat="1" ht="15" hidden="1" customHeight="1" outlineLevel="2" x14ac:dyDescent="0.3">
      <c r="A63" s="26"/>
      <c r="B63" s="12" t="str">
        <f>CONCATENATE("          ","6284"," - ","TRASH REMOVAL EXPENSE")</f>
        <v xml:space="preserve">          6284 - TRASH REMOVAL EXPENSE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/>
      <c r="Q63" s="3"/>
      <c r="R63" s="8">
        <f t="shared" si="12"/>
        <v>0</v>
      </c>
      <c r="S63" s="3"/>
      <c r="T63" s="7">
        <v>0</v>
      </c>
      <c r="U63" s="3"/>
      <c r="V63" s="8">
        <f t="shared" si="13"/>
        <v>0</v>
      </c>
      <c r="W63" s="3"/>
      <c r="X63" s="7">
        <f t="shared" si="14"/>
        <v>0</v>
      </c>
      <c r="Y63" s="3"/>
      <c r="Z63" s="8">
        <f t="shared" si="15"/>
        <v>0</v>
      </c>
    </row>
    <row r="64" spans="1:26" s="70" customFormat="1" ht="15" hidden="1" customHeight="1" outlineLevel="2" x14ac:dyDescent="0.3">
      <c r="A64" s="26"/>
      <c r="B64" s="12" t="str">
        <f>CONCATENATE("          ","6285"," - ","JANITORIAL SERVICES")</f>
        <v xml:space="preserve">          6285 - JANITORIAL SERVICES</v>
      </c>
      <c r="C64" s="12"/>
      <c r="D64" s="7"/>
      <c r="E64" s="3"/>
      <c r="F64" s="8">
        <f t="shared" si="8"/>
        <v>0</v>
      </c>
      <c r="G64" s="3"/>
      <c r="H64" s="7">
        <v>3100</v>
      </c>
      <c r="I64" s="3"/>
      <c r="J64" s="8">
        <f t="shared" si="9"/>
        <v>1.7148294021330265E-2</v>
      </c>
      <c r="K64" s="3"/>
      <c r="L64" s="7">
        <f t="shared" si="10"/>
        <v>-3100</v>
      </c>
      <c r="M64" s="3"/>
      <c r="N64" s="8">
        <f t="shared" si="11"/>
        <v>-1</v>
      </c>
      <c r="O64" s="12"/>
      <c r="P64" s="7">
        <v>260</v>
      </c>
      <c r="Q64" s="3"/>
      <c r="R64" s="8">
        <f t="shared" si="12"/>
        <v>0</v>
      </c>
      <c r="S64" s="3"/>
      <c r="T64" s="7">
        <v>27900</v>
      </c>
      <c r="U64" s="3"/>
      <c r="V64" s="8">
        <f t="shared" si="13"/>
        <v>3.4460398332561371E-2</v>
      </c>
      <c r="W64" s="3"/>
      <c r="X64" s="7">
        <f t="shared" si="14"/>
        <v>-27640</v>
      </c>
      <c r="Y64" s="3"/>
      <c r="Z64" s="8">
        <f t="shared" si="15"/>
        <v>-0.99068100358422939</v>
      </c>
    </row>
    <row r="65" spans="1:26" s="70" customFormat="1" ht="15" hidden="1" customHeight="1" outlineLevel="2" x14ac:dyDescent="0.3">
      <c r="A65" s="26"/>
      <c r="B65" s="12" t="str">
        <f>CONCATENATE("          ","6286"," - ","LAUNDRY EXPENSE")</f>
        <v xml:space="preserve">          6286 - LAUNDRY EXPENSE</v>
      </c>
      <c r="C65" s="12"/>
      <c r="D65" s="7"/>
      <c r="E65" s="3"/>
      <c r="F65" s="8">
        <f t="shared" si="8"/>
        <v>0</v>
      </c>
      <c r="G65" s="3"/>
      <c r="H65" s="7">
        <v>25</v>
      </c>
      <c r="I65" s="3"/>
      <c r="J65" s="8">
        <f t="shared" si="9"/>
        <v>1.3829269372040538E-4</v>
      </c>
      <c r="K65" s="3"/>
      <c r="L65" s="7">
        <f t="shared" si="10"/>
        <v>-25</v>
      </c>
      <c r="M65" s="3"/>
      <c r="N65" s="8">
        <f t="shared" si="11"/>
        <v>-1</v>
      </c>
      <c r="O65" s="12"/>
      <c r="P65" s="7"/>
      <c r="Q65" s="3"/>
      <c r="R65" s="8">
        <f t="shared" si="12"/>
        <v>0</v>
      </c>
      <c r="S65" s="3"/>
      <c r="T65" s="7">
        <v>425</v>
      </c>
      <c r="U65" s="3"/>
      <c r="V65" s="8">
        <f t="shared" si="13"/>
        <v>5.2493438320209973E-4</v>
      </c>
      <c r="W65" s="3"/>
      <c r="X65" s="7">
        <f t="shared" si="14"/>
        <v>-425</v>
      </c>
      <c r="Y65" s="3"/>
      <c r="Z65" s="8">
        <f t="shared" si="15"/>
        <v>-1</v>
      </c>
    </row>
    <row r="66" spans="1:26" s="69" customFormat="1" ht="15" customHeight="1" outlineLevel="1" collapsed="1" x14ac:dyDescent="0.3">
      <c r="A66" s="25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SUM(OSRRefD22_10x_0)</f>
        <v>214.91</v>
      </c>
      <c r="E66" s="2"/>
      <c r="F66" s="6">
        <f t="shared" si="8"/>
        <v>0</v>
      </c>
      <c r="G66" s="2"/>
      <c r="H66" s="2">
        <f>SUM(OSRRefH22_10x_0)</f>
        <v>200</v>
      </c>
      <c r="I66" s="2"/>
      <c r="J66" s="6">
        <f t="shared" si="9"/>
        <v>1.106341549763243E-3</v>
      </c>
      <c r="K66" s="2"/>
      <c r="L66" s="2">
        <f t="shared" si="10"/>
        <v>14.909999999999997</v>
      </c>
      <c r="M66" s="2"/>
      <c r="N66" s="6">
        <f t="shared" si="11"/>
        <v>7.4549999999999977E-2</v>
      </c>
      <c r="O66" s="14"/>
      <c r="P66" s="2">
        <f>SUM(OSRRefP22_10x_0)</f>
        <v>2085.87</v>
      </c>
      <c r="Q66" s="2"/>
      <c r="R66" s="6">
        <f t="shared" si="12"/>
        <v>0</v>
      </c>
      <c r="S66" s="2"/>
      <c r="T66" s="2">
        <f>SUM(OSRRefT22_10x_0)</f>
        <v>1800</v>
      </c>
      <c r="U66" s="2"/>
      <c r="V66" s="6">
        <f t="shared" si="13"/>
        <v>2.22325150532654E-3</v>
      </c>
      <c r="W66" s="2"/>
      <c r="X66" s="2">
        <f t="shared" si="14"/>
        <v>285.86999999999989</v>
      </c>
      <c r="Y66" s="2"/>
      <c r="Z66" s="6">
        <f t="shared" si="15"/>
        <v>0.15881666666666661</v>
      </c>
    </row>
    <row r="67" spans="1:26" s="70" customFormat="1" ht="15" hidden="1" customHeight="1" outlineLevel="2" x14ac:dyDescent="0.3">
      <c r="A67" s="26"/>
      <c r="B67" s="12" t="str">
        <f>CONCATENATE("          ","6275"," - ","SUBSCRIPTIONS")</f>
        <v xml:space="preserve">          6275 - SUBSCRIPTIONS</v>
      </c>
      <c r="C67" s="12"/>
      <c r="D67" s="7">
        <v>214.91</v>
      </c>
      <c r="E67" s="3"/>
      <c r="F67" s="8">
        <f t="shared" si="8"/>
        <v>0</v>
      </c>
      <c r="G67" s="3"/>
      <c r="H67" s="7">
        <v>200</v>
      </c>
      <c r="I67" s="3"/>
      <c r="J67" s="8">
        <f t="shared" si="9"/>
        <v>1.106341549763243E-3</v>
      </c>
      <c r="K67" s="3"/>
      <c r="L67" s="7">
        <f t="shared" si="10"/>
        <v>14.909999999999997</v>
      </c>
      <c r="M67" s="3"/>
      <c r="N67" s="8">
        <f t="shared" si="11"/>
        <v>7.4549999999999977E-2</v>
      </c>
      <c r="O67" s="12"/>
      <c r="P67" s="7">
        <v>2085.87</v>
      </c>
      <c r="Q67" s="3"/>
      <c r="R67" s="8">
        <f t="shared" si="12"/>
        <v>0</v>
      </c>
      <c r="S67" s="3"/>
      <c r="T67" s="7">
        <v>1800</v>
      </c>
      <c r="U67" s="3"/>
      <c r="V67" s="8">
        <f t="shared" si="13"/>
        <v>2.22325150532654E-3</v>
      </c>
      <c r="W67" s="3"/>
      <c r="X67" s="7">
        <f t="shared" si="14"/>
        <v>285.86999999999989</v>
      </c>
      <c r="Y67" s="3"/>
      <c r="Z67" s="8">
        <f t="shared" si="15"/>
        <v>0.15881666666666661</v>
      </c>
    </row>
    <row r="68" spans="1:26" s="69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SUM(OSRRefD22_11x_0)</f>
        <v>0</v>
      </c>
      <c r="E68" s="2"/>
      <c r="F68" s="6">
        <f t="shared" si="8"/>
        <v>0</v>
      </c>
      <c r="G68" s="2"/>
      <c r="H68" s="2">
        <f>SUM(OSRRefH22_11x_0)</f>
        <v>550</v>
      </c>
      <c r="I68" s="2"/>
      <c r="J68" s="6">
        <f t="shared" si="9"/>
        <v>3.0424392618489181E-3</v>
      </c>
      <c r="K68" s="2"/>
      <c r="L68" s="2">
        <f t="shared" si="10"/>
        <v>-550</v>
      </c>
      <c r="M68" s="2"/>
      <c r="N68" s="6">
        <f t="shared" si="11"/>
        <v>-1</v>
      </c>
      <c r="O68" s="14"/>
      <c r="P68" s="2">
        <f>SUM(OSRRefP22_11x_0)</f>
        <v>2416.56</v>
      </c>
      <c r="Q68" s="2"/>
      <c r="R68" s="6">
        <f t="shared" si="12"/>
        <v>0</v>
      </c>
      <c r="S68" s="2"/>
      <c r="T68" s="2">
        <f>SUM(OSRRefT22_11x_0)</f>
        <v>12050</v>
      </c>
      <c r="U68" s="2"/>
      <c r="V68" s="6">
        <f t="shared" si="13"/>
        <v>1.4883433688436004E-2</v>
      </c>
      <c r="W68" s="2"/>
      <c r="X68" s="2">
        <f t="shared" si="14"/>
        <v>-9633.44</v>
      </c>
      <c r="Y68" s="2"/>
      <c r="Z68" s="6">
        <f t="shared" si="15"/>
        <v>-0.79945560165975105</v>
      </c>
    </row>
    <row r="69" spans="1:26" s="70" customFormat="1" ht="15" hidden="1" customHeight="1" outlineLevel="2" x14ac:dyDescent="0.3">
      <c r="A69" s="26"/>
      <c r="B69" s="12" t="str">
        <f>CONCATENATE("          ","6235"," - ","COVID-19 EXPENSES")</f>
        <v xml:space="preserve">          6235 - COVID-19 EXPENSES</v>
      </c>
      <c r="C69" s="12"/>
      <c r="D69" s="7"/>
      <c r="E69" s="3"/>
      <c r="F69" s="8">
        <f t="shared" si="8"/>
        <v>0</v>
      </c>
      <c r="G69" s="3"/>
      <c r="H69" s="7">
        <v>175</v>
      </c>
      <c r="I69" s="3"/>
      <c r="J69" s="8">
        <f t="shared" si="9"/>
        <v>9.6804885604283753E-4</v>
      </c>
      <c r="K69" s="3"/>
      <c r="L69" s="7">
        <f t="shared" si="10"/>
        <v>-175</v>
      </c>
      <c r="M69" s="3"/>
      <c r="N69" s="8">
        <f t="shared" si="11"/>
        <v>-1</v>
      </c>
      <c r="O69" s="12"/>
      <c r="P69" s="7">
        <v>35.72</v>
      </c>
      <c r="Q69" s="3"/>
      <c r="R69" s="8">
        <f t="shared" si="12"/>
        <v>0</v>
      </c>
      <c r="S69" s="3"/>
      <c r="T69" s="7">
        <v>1825</v>
      </c>
      <c r="U69" s="3"/>
      <c r="V69" s="8">
        <f t="shared" si="13"/>
        <v>2.2541299984560753E-3</v>
      </c>
      <c r="W69" s="3"/>
      <c r="X69" s="7">
        <f t="shared" si="14"/>
        <v>-1789.28</v>
      </c>
      <c r="Y69" s="3"/>
      <c r="Z69" s="8">
        <f t="shared" si="15"/>
        <v>-0.98042739726027395</v>
      </c>
    </row>
    <row r="70" spans="1:26" s="70" customFormat="1" ht="15" hidden="1" customHeight="1" outlineLevel="2" x14ac:dyDescent="0.3">
      <c r="A70" s="26"/>
      <c r="B70" s="12" t="str">
        <f>CONCATENATE("          ","6237"," - ","JANITORIAL SUPPLIES")</f>
        <v xml:space="preserve">          6237 - JANITORIAL SUPPLIES</v>
      </c>
      <c r="C70" s="12"/>
      <c r="D70" s="7"/>
      <c r="E70" s="3"/>
      <c r="F70" s="8">
        <f t="shared" si="8"/>
        <v>0</v>
      </c>
      <c r="G70" s="3"/>
      <c r="H70" s="7">
        <v>75</v>
      </c>
      <c r="I70" s="3"/>
      <c r="J70" s="8">
        <f t="shared" si="9"/>
        <v>4.1487808116121607E-4</v>
      </c>
      <c r="K70" s="3"/>
      <c r="L70" s="7">
        <f t="shared" si="10"/>
        <v>-75</v>
      </c>
      <c r="M70" s="3"/>
      <c r="N70" s="8">
        <f t="shared" si="11"/>
        <v>-1</v>
      </c>
      <c r="O70" s="12"/>
      <c r="P70" s="7">
        <v>796.76</v>
      </c>
      <c r="Q70" s="3"/>
      <c r="R70" s="8">
        <f t="shared" si="12"/>
        <v>0</v>
      </c>
      <c r="S70" s="3"/>
      <c r="T70" s="7">
        <v>925</v>
      </c>
      <c r="U70" s="3"/>
      <c r="V70" s="8">
        <f t="shared" si="13"/>
        <v>1.1425042457928053E-3</v>
      </c>
      <c r="W70" s="3"/>
      <c r="X70" s="7">
        <f t="shared" si="14"/>
        <v>-128.24</v>
      </c>
      <c r="Y70" s="3"/>
      <c r="Z70" s="8">
        <f t="shared" si="15"/>
        <v>-0.13863783783783784</v>
      </c>
    </row>
    <row r="71" spans="1:26" s="70" customFormat="1" ht="15" hidden="1" customHeight="1" outlineLevel="2" x14ac:dyDescent="0.3">
      <c r="A71" s="26"/>
      <c r="B71" s="12" t="str">
        <f>CONCATENATE("          ","6239"," - ","KITCHEN SUPPLIES")</f>
        <v xml:space="preserve">          6239 - KITCHEN SUPPLIES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>
        <v>214.67</v>
      </c>
      <c r="Q71" s="3"/>
      <c r="R71" s="8">
        <f t="shared" si="12"/>
        <v>0</v>
      </c>
      <c r="S71" s="3"/>
      <c r="T71" s="7">
        <v>5000</v>
      </c>
      <c r="U71" s="3"/>
      <c r="V71" s="8">
        <f t="shared" si="13"/>
        <v>6.1756986259070556E-3</v>
      </c>
      <c r="W71" s="3"/>
      <c r="X71" s="7">
        <f t="shared" si="14"/>
        <v>-4785.33</v>
      </c>
      <c r="Y71" s="3"/>
      <c r="Z71" s="8">
        <f t="shared" si="15"/>
        <v>-0.95706599999999997</v>
      </c>
    </row>
    <row r="72" spans="1:26" s="70" customFormat="1" ht="15" hidden="1" customHeight="1" outlineLevel="2" x14ac:dyDescent="0.3">
      <c r="A72" s="26"/>
      <c r="B72" s="12" t="str">
        <f>CONCATENATE("          ","6241"," - ","OFFICE EXPENSE")</f>
        <v xml:space="preserve">          6241 - OFFICE EXPENSE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893.22</v>
      </c>
      <c r="Q72" s="3"/>
      <c r="R72" s="8">
        <f t="shared" si="12"/>
        <v>0</v>
      </c>
      <c r="S72" s="3"/>
      <c r="T72" s="7">
        <v>150</v>
      </c>
      <c r="U72" s="3"/>
      <c r="V72" s="8">
        <f t="shared" si="13"/>
        <v>1.8527095877721167E-4</v>
      </c>
      <c r="W72" s="3"/>
      <c r="X72" s="7">
        <f t="shared" si="14"/>
        <v>743.22</v>
      </c>
      <c r="Y72" s="3"/>
      <c r="Z72" s="8">
        <f t="shared" si="15"/>
        <v>4.9548000000000005</v>
      </c>
    </row>
    <row r="73" spans="1:26" s="70" customFormat="1" ht="15" hidden="1" customHeight="1" outlineLevel="2" x14ac:dyDescent="0.3">
      <c r="A73" s="26"/>
      <c r="B73" s="12" t="str">
        <f>CONCATENATE("          ","6243"," - ","PAPER SUPPLIES")</f>
        <v xml:space="preserve">          6243 - PAPER SUPPLIES</v>
      </c>
      <c r="C73" s="12"/>
      <c r="D73" s="7"/>
      <c r="E73" s="3"/>
      <c r="F73" s="8">
        <f t="shared" si="8"/>
        <v>0</v>
      </c>
      <c r="G73" s="3"/>
      <c r="H73" s="7">
        <v>200</v>
      </c>
      <c r="I73" s="3"/>
      <c r="J73" s="8">
        <f t="shared" si="9"/>
        <v>1.106341549763243E-3</v>
      </c>
      <c r="K73" s="3"/>
      <c r="L73" s="7">
        <f t="shared" si="10"/>
        <v>-200</v>
      </c>
      <c r="M73" s="3"/>
      <c r="N73" s="8">
        <f t="shared" si="11"/>
        <v>-1</v>
      </c>
      <c r="O73" s="12"/>
      <c r="P73" s="7">
        <v>138.19</v>
      </c>
      <c r="Q73" s="3"/>
      <c r="R73" s="8">
        <f t="shared" si="12"/>
        <v>0</v>
      </c>
      <c r="S73" s="3"/>
      <c r="T73" s="7">
        <v>2050</v>
      </c>
      <c r="U73" s="3"/>
      <c r="V73" s="8">
        <f t="shared" si="13"/>
        <v>2.5320364366218928E-3</v>
      </c>
      <c r="W73" s="3"/>
      <c r="X73" s="7">
        <f t="shared" si="14"/>
        <v>-1911.81</v>
      </c>
      <c r="Y73" s="3"/>
      <c r="Z73" s="8">
        <f t="shared" si="15"/>
        <v>-0.93259024390243894</v>
      </c>
    </row>
    <row r="74" spans="1:26" s="70" customFormat="1" ht="15" hidden="1" customHeight="1" outlineLevel="2" x14ac:dyDescent="0.3">
      <c r="A74" s="26"/>
      <c r="B74" s="12" t="str">
        <f>CONCATENATE("          ","6244"," - ","SAFETY SUPPLY EXPENSE")</f>
        <v xml:space="preserve">          6244 - SAFETY SUPPLY EXPENSE</v>
      </c>
      <c r="C74" s="12"/>
      <c r="D74" s="7"/>
      <c r="E74" s="3"/>
      <c r="F74" s="8">
        <f t="shared" si="8"/>
        <v>0</v>
      </c>
      <c r="G74" s="3"/>
      <c r="H74" s="7">
        <v>50</v>
      </c>
      <c r="I74" s="3"/>
      <c r="J74" s="8">
        <f t="shared" si="9"/>
        <v>2.7658538744081075E-4</v>
      </c>
      <c r="K74" s="3"/>
      <c r="L74" s="7">
        <f t="shared" si="10"/>
        <v>-50</v>
      </c>
      <c r="M74" s="3"/>
      <c r="N74" s="8">
        <f t="shared" si="11"/>
        <v>-1</v>
      </c>
      <c r="O74" s="12"/>
      <c r="P74" s="7"/>
      <c r="Q74" s="3"/>
      <c r="R74" s="8">
        <f t="shared" si="12"/>
        <v>0</v>
      </c>
      <c r="S74" s="3"/>
      <c r="T74" s="7">
        <v>150</v>
      </c>
      <c r="U74" s="3"/>
      <c r="V74" s="8">
        <f t="shared" si="13"/>
        <v>1.8527095877721167E-4</v>
      </c>
      <c r="W74" s="3"/>
      <c r="X74" s="7">
        <f t="shared" si="14"/>
        <v>-150</v>
      </c>
      <c r="Y74" s="3"/>
      <c r="Z74" s="8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","6245"," - ","PRINTING")</f>
        <v xml:space="preserve">          6245 - PRINTING</v>
      </c>
      <c r="C75" s="12"/>
      <c r="D75" s="7"/>
      <c r="E75" s="3"/>
      <c r="F75" s="8">
        <f t="shared" si="8"/>
        <v>0</v>
      </c>
      <c r="G75" s="3"/>
      <c r="H75" s="7">
        <v>50</v>
      </c>
      <c r="I75" s="3"/>
      <c r="J75" s="8">
        <f t="shared" si="9"/>
        <v>2.7658538744081075E-4</v>
      </c>
      <c r="K75" s="3"/>
      <c r="L75" s="7">
        <f t="shared" si="10"/>
        <v>-50</v>
      </c>
      <c r="M75" s="3"/>
      <c r="N75" s="8">
        <f t="shared" si="11"/>
        <v>-1</v>
      </c>
      <c r="O75" s="12"/>
      <c r="P75" s="7">
        <v>338</v>
      </c>
      <c r="Q75" s="3"/>
      <c r="R75" s="8">
        <f t="shared" si="12"/>
        <v>0</v>
      </c>
      <c r="S75" s="3"/>
      <c r="T75" s="7">
        <v>900</v>
      </c>
      <c r="U75" s="3"/>
      <c r="V75" s="8">
        <f t="shared" si="13"/>
        <v>1.11162575266327E-3</v>
      </c>
      <c r="W75" s="3"/>
      <c r="X75" s="7">
        <f t="shared" si="14"/>
        <v>-562</v>
      </c>
      <c r="Y75" s="3"/>
      <c r="Z75" s="8">
        <f t="shared" si="15"/>
        <v>-0.62444444444444447</v>
      </c>
    </row>
    <row r="76" spans="1:26" s="70" customFormat="1" ht="15" hidden="1" customHeight="1" outlineLevel="2" x14ac:dyDescent="0.3">
      <c r="A76" s="26"/>
      <c r="B76" s="12" t="str">
        <f>CONCATENATE("          ","6248"," - ","UNIFORMS")</f>
        <v xml:space="preserve">          6248 - UNIFORMS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/>
      <c r="Q76" s="3"/>
      <c r="R76" s="8">
        <f t="shared" si="12"/>
        <v>0</v>
      </c>
      <c r="S76" s="3"/>
      <c r="T76" s="7">
        <v>1050</v>
      </c>
      <c r="U76" s="3"/>
      <c r="V76" s="8">
        <f t="shared" si="13"/>
        <v>1.2968967114404817E-3</v>
      </c>
      <c r="W76" s="3"/>
      <c r="X76" s="7">
        <f t="shared" si="14"/>
        <v>-1050</v>
      </c>
      <c r="Y76" s="3"/>
      <c r="Z76" s="8">
        <f t="shared" si="15"/>
        <v>-1</v>
      </c>
    </row>
    <row r="77" spans="1:26" s="69" customFormat="1" ht="15" customHeight="1" outlineLevel="1" collapsed="1" x14ac:dyDescent="0.3">
      <c r="A77" s="25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256.5</v>
      </c>
      <c r="E77" s="2"/>
      <c r="F77" s="6">
        <f t="shared" si="8"/>
        <v>0</v>
      </c>
      <c r="G77" s="2"/>
      <c r="H77" s="2">
        <f>SUM(OSRRefH22_12x_0)</f>
        <v>75</v>
      </c>
      <c r="I77" s="2"/>
      <c r="J77" s="6">
        <f t="shared" si="9"/>
        <v>4.1487808116121607E-4</v>
      </c>
      <c r="K77" s="2"/>
      <c r="L77" s="2">
        <f t="shared" si="10"/>
        <v>181.5</v>
      </c>
      <c r="M77" s="2"/>
      <c r="N77" s="6">
        <f t="shared" si="11"/>
        <v>2.42</v>
      </c>
      <c r="O77" s="14"/>
      <c r="P77" s="2">
        <f>SUM(OSRRefP22_12x_0)</f>
        <v>876</v>
      </c>
      <c r="Q77" s="2"/>
      <c r="R77" s="6">
        <f t="shared" si="12"/>
        <v>0</v>
      </c>
      <c r="S77" s="2"/>
      <c r="T77" s="2">
        <f>SUM(OSRRefT22_12x_0)</f>
        <v>1200</v>
      </c>
      <c r="U77" s="2"/>
      <c r="V77" s="6">
        <f t="shared" si="13"/>
        <v>1.4821676702176934E-3</v>
      </c>
      <c r="W77" s="2"/>
      <c r="X77" s="2">
        <f t="shared" si="14"/>
        <v>-324</v>
      </c>
      <c r="Y77" s="2"/>
      <c r="Z77" s="6">
        <f t="shared" si="15"/>
        <v>-0.27</v>
      </c>
    </row>
    <row r="78" spans="1:26" s="70" customFormat="1" ht="15" hidden="1" customHeight="1" outlineLevel="2" x14ac:dyDescent="0.3">
      <c r="A78" s="26"/>
      <c r="B78" s="12" t="str">
        <f>CONCATENATE("          ","6303"," - ","DATA PHONE LINES")</f>
        <v xml:space="preserve">          6303 - DATA PHONE LINES</v>
      </c>
      <c r="C78" s="12"/>
      <c r="D78" s="7"/>
      <c r="E78" s="3"/>
      <c r="F78" s="8">
        <f t="shared" si="8"/>
        <v>0</v>
      </c>
      <c r="G78" s="3"/>
      <c r="H78" s="7">
        <v>75</v>
      </c>
      <c r="I78" s="3"/>
      <c r="J78" s="8">
        <f t="shared" si="9"/>
        <v>4.1487808116121607E-4</v>
      </c>
      <c r="K78" s="3"/>
      <c r="L78" s="7">
        <f t="shared" si="10"/>
        <v>-75</v>
      </c>
      <c r="M78" s="3"/>
      <c r="N78" s="8">
        <f t="shared" si="11"/>
        <v>-1</v>
      </c>
      <c r="O78" s="12"/>
      <c r="P78" s="7"/>
      <c r="Q78" s="3"/>
      <c r="R78" s="8">
        <f t="shared" si="12"/>
        <v>0</v>
      </c>
      <c r="S78" s="3"/>
      <c r="T78" s="7">
        <v>750</v>
      </c>
      <c r="U78" s="3"/>
      <c r="V78" s="8">
        <f t="shared" si="13"/>
        <v>9.2635479388605835E-4</v>
      </c>
      <c r="W78" s="3"/>
      <c r="X78" s="7">
        <f t="shared" si="14"/>
        <v>-750</v>
      </c>
      <c r="Y78" s="3"/>
      <c r="Z78" s="8">
        <f t="shared" si="15"/>
        <v>-1</v>
      </c>
    </row>
    <row r="79" spans="1:26" s="70" customFormat="1" ht="15" hidden="1" customHeight="1" outlineLevel="2" x14ac:dyDescent="0.3">
      <c r="A79" s="26"/>
      <c r="B79" s="12" t="str">
        <f>CONCATENATE("          ","6309"," - ","TELEPHONE")</f>
        <v xml:space="preserve">          6309 - TELEPHONE</v>
      </c>
      <c r="C79" s="12"/>
      <c r="D79" s="7">
        <v>256.5</v>
      </c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256.5</v>
      </c>
      <c r="M79" s="3"/>
      <c r="N79" s="8">
        <f t="shared" si="11"/>
        <v>0</v>
      </c>
      <c r="O79" s="12"/>
      <c r="P79" s="7">
        <v>876</v>
      </c>
      <c r="Q79" s="3"/>
      <c r="R79" s="8">
        <f t="shared" si="12"/>
        <v>0</v>
      </c>
      <c r="S79" s="3"/>
      <c r="T79" s="7">
        <v>450</v>
      </c>
      <c r="U79" s="3"/>
      <c r="V79" s="8">
        <f t="shared" si="13"/>
        <v>5.5581287633163501E-4</v>
      </c>
      <c r="W79" s="3"/>
      <c r="X79" s="7">
        <f t="shared" si="14"/>
        <v>426</v>
      </c>
      <c r="Y79" s="3"/>
      <c r="Z79" s="8">
        <f t="shared" si="15"/>
        <v>0.94666666666666666</v>
      </c>
    </row>
    <row r="80" spans="1:26" s="69" customFormat="1" ht="15" customHeight="1" outlineLevel="1" collapsed="1" x14ac:dyDescent="0.3">
      <c r="A80" s="25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SUM(OSRRefD22_13x_0)</f>
        <v>0</v>
      </c>
      <c r="E80" s="2"/>
      <c r="F80" s="6">
        <f t="shared" si="8"/>
        <v>0</v>
      </c>
      <c r="G80" s="2"/>
      <c r="H80" s="2">
        <f>SUM(OSRRefH22_13x_0)</f>
        <v>0</v>
      </c>
      <c r="I80" s="2"/>
      <c r="J80" s="6">
        <f t="shared" si="9"/>
        <v>0</v>
      </c>
      <c r="K80" s="2"/>
      <c r="L80" s="2">
        <f t="shared" si="10"/>
        <v>0</v>
      </c>
      <c r="M80" s="2"/>
      <c r="N80" s="6">
        <f t="shared" si="11"/>
        <v>0</v>
      </c>
      <c r="O80" s="14"/>
      <c r="P80" s="2">
        <f>SUM(OSRRefP22_13x_0)</f>
        <v>120</v>
      </c>
      <c r="Q80" s="2"/>
      <c r="R80" s="6">
        <f t="shared" si="12"/>
        <v>0</v>
      </c>
      <c r="S80" s="2"/>
      <c r="T80" s="2">
        <f>SUM(OSRRefT22_13x_0)</f>
        <v>400</v>
      </c>
      <c r="U80" s="2"/>
      <c r="V80" s="6">
        <f t="shared" si="13"/>
        <v>4.9405589007256445E-4</v>
      </c>
      <c r="W80" s="2"/>
      <c r="X80" s="2">
        <f t="shared" si="14"/>
        <v>-280</v>
      </c>
      <c r="Y80" s="2"/>
      <c r="Z80" s="6">
        <f t="shared" si="15"/>
        <v>-0.7</v>
      </c>
    </row>
    <row r="81" spans="1:26" s="70" customFormat="1" ht="15" hidden="1" customHeight="1" outlineLevel="2" x14ac:dyDescent="0.3">
      <c r="A81" s="26"/>
      <c r="B81" s="12" t="str">
        <f>CONCATENATE("          ","6376"," - ","TRAINING")</f>
        <v xml:space="preserve">          6376 - TRAINING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120</v>
      </c>
      <c r="Q81" s="3"/>
      <c r="R81" s="8">
        <f t="shared" si="12"/>
        <v>0</v>
      </c>
      <c r="S81" s="3"/>
      <c r="T81" s="7">
        <v>400</v>
      </c>
      <c r="U81" s="3"/>
      <c r="V81" s="8">
        <f t="shared" si="13"/>
        <v>4.9405589007256445E-4</v>
      </c>
      <c r="W81" s="3"/>
      <c r="X81" s="7">
        <f t="shared" si="14"/>
        <v>-280</v>
      </c>
      <c r="Y81" s="3"/>
      <c r="Z81" s="8">
        <f t="shared" si="15"/>
        <v>-0.7</v>
      </c>
    </row>
    <row r="82" spans="1:26" s="69" customFormat="1" ht="15" customHeight="1" outlineLevel="1" collapsed="1" x14ac:dyDescent="0.3">
      <c r="A82" s="25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SUM(OSRRefD22_14x_0)</f>
        <v>0</v>
      </c>
      <c r="E82" s="2"/>
      <c r="F82" s="6">
        <f t="shared" si="8"/>
        <v>0</v>
      </c>
      <c r="G82" s="2"/>
      <c r="H82" s="2">
        <f>SUM(OSRRefH22_14x_0)</f>
        <v>0</v>
      </c>
      <c r="I82" s="2"/>
      <c r="J82" s="6">
        <f t="shared" si="9"/>
        <v>0</v>
      </c>
      <c r="K82" s="2"/>
      <c r="L82" s="2">
        <f t="shared" si="10"/>
        <v>0</v>
      </c>
      <c r="M82" s="2"/>
      <c r="N82" s="6">
        <f t="shared" si="11"/>
        <v>0</v>
      </c>
      <c r="O82" s="14"/>
      <c r="P82" s="2">
        <f>SUM(OSRRefP22_14x_0)</f>
        <v>0</v>
      </c>
      <c r="Q82" s="2"/>
      <c r="R82" s="6">
        <f t="shared" si="12"/>
        <v>0</v>
      </c>
      <c r="S82" s="2"/>
      <c r="T82" s="2">
        <f>SUM(OSRRefT22_14x_0)</f>
        <v>600</v>
      </c>
      <c r="U82" s="2"/>
      <c r="V82" s="6">
        <f t="shared" si="13"/>
        <v>7.4108383510884668E-4</v>
      </c>
      <c r="W82" s="2"/>
      <c r="X82" s="2">
        <f t="shared" si="14"/>
        <v>-600</v>
      </c>
      <c r="Y82" s="2"/>
      <c r="Z82" s="6">
        <f t="shared" si="15"/>
        <v>-1</v>
      </c>
    </row>
    <row r="83" spans="1:26" s="70" customFormat="1" ht="15" hidden="1" customHeight="1" outlineLevel="2" x14ac:dyDescent="0.3">
      <c r="A83" s="26"/>
      <c r="B83" s="12" t="str">
        <f>CONCATENATE("          ","6292"," - ","TRAVEL/CONFERENCE")</f>
        <v xml:space="preserve">          6292 - TRAVEL/CONFERENCE</v>
      </c>
      <c r="C83" s="12"/>
      <c r="D83" s="7"/>
      <c r="E83" s="3"/>
      <c r="F83" s="8">
        <f t="shared" si="8"/>
        <v>0</v>
      </c>
      <c r="G83" s="3"/>
      <c r="H83" s="7"/>
      <c r="I83" s="3"/>
      <c r="J83" s="8">
        <f t="shared" si="9"/>
        <v>0</v>
      </c>
      <c r="K83" s="3"/>
      <c r="L83" s="7">
        <f t="shared" si="10"/>
        <v>0</v>
      </c>
      <c r="M83" s="3"/>
      <c r="N83" s="8">
        <f t="shared" si="11"/>
        <v>0</v>
      </c>
      <c r="O83" s="12"/>
      <c r="P83" s="7"/>
      <c r="Q83" s="3"/>
      <c r="R83" s="8">
        <f t="shared" si="12"/>
        <v>0</v>
      </c>
      <c r="S83" s="3"/>
      <c r="T83" s="7">
        <v>600</v>
      </c>
      <c r="U83" s="3"/>
      <c r="V83" s="8">
        <f t="shared" si="13"/>
        <v>7.4108383510884668E-4</v>
      </c>
      <c r="W83" s="3"/>
      <c r="X83" s="7">
        <f t="shared" si="14"/>
        <v>-600</v>
      </c>
      <c r="Y83" s="3"/>
      <c r="Z83" s="8">
        <f t="shared" si="15"/>
        <v>-1</v>
      </c>
    </row>
    <row r="84" spans="1:26" s="69" customFormat="1" ht="15" customHeight="1" outlineLevel="1" collapsed="1" x14ac:dyDescent="0.3">
      <c r="A84" s="25"/>
      <c r="B84" s="14" t="str">
        <f>CONCATENATE("     ","Utilities                                         ")</f>
        <v xml:space="preserve">     Utilities                                         </v>
      </c>
      <c r="C84" s="14"/>
      <c r="D84" s="2">
        <f>SUM(OSRRefD22_15x_0)</f>
        <v>0</v>
      </c>
      <c r="E84" s="2"/>
      <c r="F84" s="6">
        <f t="shared" si="8"/>
        <v>0</v>
      </c>
      <c r="G84" s="2"/>
      <c r="H84" s="2">
        <f>SUM(OSRRefH22_15x_0)</f>
        <v>500</v>
      </c>
      <c r="I84" s="2"/>
      <c r="J84" s="6">
        <f t="shared" si="9"/>
        <v>2.7658538744081071E-3</v>
      </c>
      <c r="K84" s="2"/>
      <c r="L84" s="2">
        <f t="shared" si="10"/>
        <v>-500</v>
      </c>
      <c r="M84" s="2"/>
      <c r="N84" s="6">
        <f t="shared" si="11"/>
        <v>-1</v>
      </c>
      <c r="O84" s="14"/>
      <c r="P84" s="2">
        <f>SUM(OSRRefP22_15x_0)</f>
        <v>0</v>
      </c>
      <c r="Q84" s="2"/>
      <c r="R84" s="6">
        <f t="shared" si="12"/>
        <v>0</v>
      </c>
      <c r="S84" s="2"/>
      <c r="T84" s="2">
        <f>SUM(OSRRefT22_15x_0)</f>
        <v>5000</v>
      </c>
      <c r="U84" s="2"/>
      <c r="V84" s="6">
        <f t="shared" si="13"/>
        <v>6.1756986259070556E-3</v>
      </c>
      <c r="W84" s="2"/>
      <c r="X84" s="2">
        <f t="shared" si="14"/>
        <v>-5000</v>
      </c>
      <c r="Y84" s="2"/>
      <c r="Z84" s="6">
        <f t="shared" si="15"/>
        <v>-1</v>
      </c>
    </row>
    <row r="85" spans="1:26" s="70" customFormat="1" ht="15" hidden="1" customHeight="1" outlineLevel="2" x14ac:dyDescent="0.3">
      <c r="A85" s="26"/>
      <c r="B85" s="12" t="str">
        <f>CONCATENATE("          ","6274"," - ","UTILITIES")</f>
        <v xml:space="preserve">          6274 - UTILITIES</v>
      </c>
      <c r="C85" s="12"/>
      <c r="D85" s="7"/>
      <c r="E85" s="3"/>
      <c r="F85" s="8">
        <f t="shared" si="8"/>
        <v>0</v>
      </c>
      <c r="G85" s="3"/>
      <c r="H85" s="7">
        <v>500</v>
      </c>
      <c r="I85" s="3"/>
      <c r="J85" s="8">
        <f t="shared" si="9"/>
        <v>2.7658538744081071E-3</v>
      </c>
      <c r="K85" s="3"/>
      <c r="L85" s="7">
        <f t="shared" si="10"/>
        <v>-500</v>
      </c>
      <c r="M85" s="3"/>
      <c r="N85" s="8">
        <f t="shared" si="11"/>
        <v>-1</v>
      </c>
      <c r="O85" s="12"/>
      <c r="P85" s="7"/>
      <c r="Q85" s="3"/>
      <c r="R85" s="8">
        <f t="shared" si="12"/>
        <v>0</v>
      </c>
      <c r="S85" s="3"/>
      <c r="T85" s="7">
        <v>5000</v>
      </c>
      <c r="U85" s="3"/>
      <c r="V85" s="8">
        <f t="shared" si="13"/>
        <v>6.1756986259070556E-3</v>
      </c>
      <c r="W85" s="3"/>
      <c r="X85" s="7">
        <f t="shared" si="14"/>
        <v>-5000</v>
      </c>
      <c r="Y85" s="3"/>
      <c r="Z85" s="8">
        <f t="shared" si="15"/>
        <v>-1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8" t="s">
        <v>291</v>
      </c>
      <c r="C87" s="11"/>
      <c r="D87" s="5">
        <f>SUM(OSRRefD25x_0)</f>
        <v>0</v>
      </c>
      <c r="E87" s="5"/>
      <c r="F87" s="13">
        <f>IF(D$12=0,0,D87/D$12)</f>
        <v>0</v>
      </c>
      <c r="G87" s="5"/>
      <c r="H87" s="5">
        <f>SUM(OSRRefH25x_0)</f>
        <v>0</v>
      </c>
      <c r="I87" s="5"/>
      <c r="J87" s="13">
        <f>IF(H$12=0,0,H87/H$12)</f>
        <v>0</v>
      </c>
      <c r="K87" s="5"/>
      <c r="L87" s="5">
        <f>+D87-H87</f>
        <v>0</v>
      </c>
      <c r="M87" s="5"/>
      <c r="N87" s="13">
        <f>IF(H87=0,0,L87/H87)</f>
        <v>0</v>
      </c>
      <c r="O87" s="11"/>
      <c r="P87" s="5">
        <f>SUM(OSRRefP25x_0)</f>
        <v>694.3</v>
      </c>
      <c r="Q87" s="5"/>
      <c r="R87" s="13">
        <f>IF(P$12=0,0,P87/P$12)</f>
        <v>0</v>
      </c>
      <c r="S87" s="5"/>
      <c r="T87" s="5">
        <f>SUM(OSRRefT25x_0)</f>
        <v>0</v>
      </c>
      <c r="U87" s="5"/>
      <c r="V87" s="13">
        <f>IF(T$12=0,0,T87/T$12)</f>
        <v>0</v>
      </c>
      <c r="W87" s="5"/>
      <c r="X87" s="5">
        <f>+P87-T87</f>
        <v>694.3</v>
      </c>
      <c r="Y87" s="5"/>
      <c r="Z87" s="13">
        <f>IF(T87=0,0,X87/T87)</f>
        <v>0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0</f>
        <v>0</v>
      </c>
      <c r="E88" s="3"/>
      <c r="F88" s="20">
        <f>IF(D$12=0,0,D88/D$12)</f>
        <v>0</v>
      </c>
      <c r="G88" s="3"/>
      <c r="H88" s="3"/>
      <c r="I88" s="3"/>
      <c r="J88" s="20">
        <f>IF(H$12=0,0,H88/H$12)</f>
        <v>0</v>
      </c>
      <c r="K88" s="3"/>
      <c r="L88" s="3">
        <f>+D88-H88</f>
        <v>0</v>
      </c>
      <c r="M88" s="3"/>
      <c r="N88" s="20">
        <f>IF(H88=0,0,L88/H88)</f>
        <v>0</v>
      </c>
      <c r="O88" s="12"/>
      <c r="P88" s="3">
        <f>--694.3</f>
        <v>694.3</v>
      </c>
      <c r="Q88" s="3"/>
      <c r="R88" s="20">
        <f>IF(P$12=0,0,P88/P$12)</f>
        <v>0</v>
      </c>
      <c r="S88" s="3"/>
      <c r="T88" s="3"/>
      <c r="U88" s="3"/>
      <c r="V88" s="20">
        <f>IF(T$12=0,0,T88/T$12)</f>
        <v>0</v>
      </c>
      <c r="W88" s="3"/>
      <c r="X88" s="3">
        <f>+P88-T88</f>
        <v>694.3</v>
      </c>
      <c r="Y88" s="3"/>
      <c r="Z88" s="20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7" t="s">
        <v>292</v>
      </c>
      <c r="C90" s="27"/>
      <c r="D90" s="21">
        <f>+D20-D22+D87</f>
        <v>-19198.89</v>
      </c>
      <c r="E90" s="15"/>
      <c r="F90" s="23">
        <f>IF(D$12=0,0,D90/D$12)</f>
        <v>0</v>
      </c>
      <c r="G90" s="15"/>
      <c r="H90" s="21">
        <f>+H20-H22+H87</f>
        <v>51498.912176559999</v>
      </c>
      <c r="I90" s="15"/>
      <c r="J90" s="23">
        <f>IF(H$12=0,0,H90/H$12)</f>
        <v>0.28487693154268268</v>
      </c>
      <c r="K90" s="17"/>
      <c r="L90" s="21">
        <f>+D90-H90</f>
        <v>-70697.802176559999</v>
      </c>
      <c r="M90" s="17"/>
      <c r="N90" s="23">
        <f>IF(H90=0,0,L90/H90)</f>
        <v>-1.3728018551960497</v>
      </c>
      <c r="O90" s="28"/>
      <c r="P90" s="21">
        <f>+P20-P22+P87</f>
        <v>-173706.38000000003</v>
      </c>
      <c r="Q90" s="15"/>
      <c r="R90" s="23">
        <f>IF(P$12=0,0,P90/P$12)</f>
        <v>0</v>
      </c>
      <c r="S90" s="15"/>
      <c r="T90" s="21">
        <f>+T20-T22+T87</f>
        <v>59756.486140646099</v>
      </c>
      <c r="U90" s="15"/>
      <c r="V90" s="23">
        <f>IF(T$12=0,0,T90/T$12)</f>
        <v>7.3807609869564431E-2</v>
      </c>
      <c r="W90" s="17"/>
      <c r="X90" s="21">
        <f>+P90-T90</f>
        <v>-233462.86614064613</v>
      </c>
      <c r="Y90" s="17"/>
      <c r="Z90" s="23">
        <f>IF(T90=0,0,X90/T90)</f>
        <v>-3.9069041909719271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49"/>
      <c r="B92" s="11" t="s">
        <v>293</v>
      </c>
      <c r="C92" s="11"/>
      <c r="D92" s="5"/>
      <c r="E92" s="5"/>
      <c r="F92" s="13">
        <f>IF(D$12=0,0,D92/D$12)</f>
        <v>0</v>
      </c>
      <c r="G92" s="5"/>
      <c r="H92" s="5">
        <v>23013</v>
      </c>
      <c r="I92" s="5"/>
      <c r="J92" s="13">
        <f>IF(H$12=0,0,H92/H$12)</f>
        <v>0.12730119042350754</v>
      </c>
      <c r="K92" s="5"/>
      <c r="L92" s="5">
        <f>+D92-H92</f>
        <v>-23013</v>
      </c>
      <c r="M92" s="5"/>
      <c r="N92" s="13">
        <f>IF(H92=0,0,L92/H92)</f>
        <v>-1</v>
      </c>
      <c r="O92" s="11"/>
      <c r="P92" s="5"/>
      <c r="Q92" s="5"/>
      <c r="R92" s="13">
        <f>IF(P$12=0,0,P92/P$12)</f>
        <v>0</v>
      </c>
      <c r="S92" s="5"/>
      <c r="T92" s="5">
        <v>99594</v>
      </c>
      <c r="U92" s="5"/>
      <c r="V92" s="13">
        <f>IF(T$12=0,0,T92/T$12)</f>
        <v>0.12301250578971747</v>
      </c>
      <c r="W92" s="5"/>
      <c r="X92" s="5">
        <f>+P92-T92</f>
        <v>-99594</v>
      </c>
      <c r="Y92" s="5"/>
      <c r="Z92" s="13">
        <f>IF(T92=0,0,X92/T92)</f>
        <v>-1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294</v>
      </c>
      <c r="C94" s="27"/>
      <c r="D94" s="29">
        <f>+D90-D92</f>
        <v>-19198.89</v>
      </c>
      <c r="E94" s="15"/>
      <c r="F94" s="30">
        <f>IF(D$12=0,0,D94/D$12)</f>
        <v>0</v>
      </c>
      <c r="G94" s="15"/>
      <c r="H94" s="29">
        <f>+H90-H92</f>
        <v>28485.912176559999</v>
      </c>
      <c r="I94" s="15"/>
      <c r="J94" s="30">
        <f>IF(H$12=0,0,H94/H$12)</f>
        <v>0.15757574111917511</v>
      </c>
      <c r="K94" s="17"/>
      <c r="L94" s="29">
        <f>D94-H94</f>
        <v>-47684.802176559999</v>
      </c>
      <c r="M94" s="17"/>
      <c r="N94" s="30">
        <f>IF(H94=0,0,L94/H94)</f>
        <v>-1.673978417155904</v>
      </c>
      <c r="O94" s="28"/>
      <c r="P94" s="29">
        <f>+P90-P92</f>
        <v>-173706.38000000003</v>
      </c>
      <c r="Q94" s="15"/>
      <c r="R94" s="30">
        <f>IF(P$12=0,0,P94/P$12)</f>
        <v>0</v>
      </c>
      <c r="S94" s="15"/>
      <c r="T94" s="29">
        <f>+T90-T92</f>
        <v>-39837.513859353901</v>
      </c>
      <c r="U94" s="15"/>
      <c r="V94" s="30">
        <f>IF(T$12=0,0,T94/T$12)</f>
        <v>-4.9204895920153036E-2</v>
      </c>
      <c r="W94" s="17"/>
      <c r="X94" s="29">
        <f>P94-T94</f>
        <v>-133868.86614064613</v>
      </c>
      <c r="Y94" s="17"/>
      <c r="Z94" s="30">
        <f>IF(T94=0,0,X94/T94)</f>
        <v>3.3603720004533755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297</v>
      </c>
      <c r="C97" s="27"/>
      <c r="D97" s="32">
        <f>SUM(D94:D96)</f>
        <v>-19198.89</v>
      </c>
      <c r="E97" s="15"/>
      <c r="F97" s="34">
        <f>IF(D$12=0,0,D97/D$12)</f>
        <v>0</v>
      </c>
      <c r="G97" s="15"/>
      <c r="H97" s="32">
        <f>SUM(H94:H96)</f>
        <v>28485.912176559999</v>
      </c>
      <c r="I97" s="15"/>
      <c r="J97" s="34">
        <f>IF(H$12=0,0,H97/H$12)</f>
        <v>0.15757574111917511</v>
      </c>
      <c r="K97" s="17"/>
      <c r="L97" s="32">
        <f>+D97-H97</f>
        <v>-47684.802176559999</v>
      </c>
      <c r="M97" s="17"/>
      <c r="N97" s="34">
        <f>IF(H97=0,0,L97/H97)</f>
        <v>-1.673978417155904</v>
      </c>
      <c r="O97" s="28"/>
      <c r="P97" s="32">
        <f>SUM(P94:P96)</f>
        <v>-173706.38000000003</v>
      </c>
      <c r="Q97" s="15"/>
      <c r="R97" s="34">
        <f>IF(P$12=0,0,P97/P$12)</f>
        <v>0</v>
      </c>
      <c r="S97" s="15"/>
      <c r="T97" s="32">
        <f>SUM(T94:T96)</f>
        <v>-39837.513859353901</v>
      </c>
      <c r="U97" s="15"/>
      <c r="V97" s="34">
        <f>IF(T$12=0,0,T97/T$12)</f>
        <v>-4.9204895920153036E-2</v>
      </c>
      <c r="W97" s="17"/>
      <c r="X97" s="32">
        <f>+P97-T97</f>
        <v>-133868.86614064613</v>
      </c>
      <c r="Y97" s="17"/>
      <c r="Z97" s="34">
        <f>IF(T97=0,0,X97/T97)</f>
        <v>3.3603720004533755</v>
      </c>
    </row>
    <row r="98" spans="1:26" ht="15" customHeight="1" x14ac:dyDescent="0.3">
      <c r="A98" s="10"/>
      <c r="C98" s="10"/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6" ht="15" customHeight="1" x14ac:dyDescent="0.3">
      <c r="A99" s="10"/>
      <c r="B99" s="56">
        <v>44694.888552430559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0" t="s">
        <v>298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1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DDC3-474F-ADD2-C6CD-4B0EE072B27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299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455B5-7BF4-5D07-BA43-9795C947F293}">
  <sheetPr>
    <tabColor rgb="FF92D050"/>
    <outlinePr summaryBelow="0" summaryRight="0"/>
  </sheetPr>
  <dimension ref="A2:Z6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","423"," - ","Contract/Vending Revenue")</f>
        <v>Department 423 - Contract/Vending Revenue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36</v>
      </c>
      <c r="E18" s="22"/>
      <c r="F18" s="33">
        <f t="shared" ref="F18:F46" si="0">IF(D$12=0,0,D18/D$12)</f>
        <v>0</v>
      </c>
      <c r="G18" s="22"/>
      <c r="H18" s="22" cm="1">
        <f t="array" ref="H18">SUM(OSRRefH22x_0)</f>
        <v>0</v>
      </c>
      <c r="I18" s="22"/>
      <c r="J18" s="33">
        <f t="shared" ref="J18:J46" si="1">IF(H$12=0,0,H18/H$12)</f>
        <v>0</v>
      </c>
      <c r="K18" s="5"/>
      <c r="L18" s="22">
        <f t="shared" ref="L18:L46" si="2">+D18-H18</f>
        <v>36</v>
      </c>
      <c r="M18" s="5"/>
      <c r="N18" s="33">
        <f t="shared" ref="N18:N46" si="3">IF(H18=0,0,L18/H18)</f>
        <v>0</v>
      </c>
      <c r="O18" s="11"/>
      <c r="P18" s="22" cm="1">
        <f t="array" ref="P18">SUM(OSRRefP22x_0)</f>
        <v>8897.64</v>
      </c>
      <c r="Q18" s="22"/>
      <c r="R18" s="33">
        <f t="shared" ref="R18:R46" si="4">IF(P$12=0,0,P18/P$12)</f>
        <v>0</v>
      </c>
      <c r="S18" s="22"/>
      <c r="T18" s="22" cm="1">
        <f t="array" ref="T18">SUM(OSRRefT22x_0)</f>
        <v>0</v>
      </c>
      <c r="U18" s="22"/>
      <c r="V18" s="33">
        <f t="shared" ref="V18:V46" si="5">IF(T$12=0,0,T18/T$12)</f>
        <v>0</v>
      </c>
      <c r="W18" s="5"/>
      <c r="X18" s="22">
        <f t="shared" ref="X18:X46" si="6">+P18-T18</f>
        <v>8897.64</v>
      </c>
      <c r="Y18" s="5"/>
      <c r="Z18" s="33">
        <f t="shared" ref="Z18:Z46" si="7"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/>
      <c r="E20" s="3"/>
      <c r="F20" s="8">
        <f t="shared" si="0"/>
        <v>0</v>
      </c>
      <c r="G20" s="3"/>
      <c r="H20" s="7">
        <v>0</v>
      </c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/>
      <c r="Q20" s="3"/>
      <c r="R20" s="8">
        <f t="shared" si="4"/>
        <v>0</v>
      </c>
      <c r="S20" s="3"/>
      <c r="T20" s="7">
        <v>0</v>
      </c>
      <c r="U20" s="3"/>
      <c r="V20" s="8">
        <f t="shared" si="5"/>
        <v>0</v>
      </c>
      <c r="W20" s="3"/>
      <c r="X20" s="7">
        <f t="shared" si="6"/>
        <v>0</v>
      </c>
      <c r="Y20" s="3"/>
      <c r="Z20" s="8">
        <f t="shared" si="7"/>
        <v>0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/>
      <c r="E21" s="3"/>
      <c r="F21" s="8">
        <f t="shared" si="0"/>
        <v>0</v>
      </c>
      <c r="G21" s="3"/>
      <c r="H21" s="7">
        <v>0</v>
      </c>
      <c r="I21" s="3"/>
      <c r="J21" s="8">
        <f t="shared" si="1"/>
        <v>0</v>
      </c>
      <c r="K21" s="3"/>
      <c r="L21" s="7">
        <f t="shared" si="2"/>
        <v>0</v>
      </c>
      <c r="M21" s="3"/>
      <c r="N21" s="8">
        <f t="shared" si="3"/>
        <v>0</v>
      </c>
      <c r="O21" s="12"/>
      <c r="P21" s="7"/>
      <c r="Q21" s="3"/>
      <c r="R21" s="8">
        <f t="shared" si="4"/>
        <v>0</v>
      </c>
      <c r="S21" s="3"/>
      <c r="T21" s="7">
        <v>0</v>
      </c>
      <c r="U21" s="3"/>
      <c r="V21" s="8">
        <f t="shared" si="5"/>
        <v>0</v>
      </c>
      <c r="W21" s="3"/>
      <c r="X21" s="7">
        <f t="shared" si="6"/>
        <v>0</v>
      </c>
      <c r="Y21" s="3"/>
      <c r="Z21" s="8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/>
      <c r="E22" s="3"/>
      <c r="F22" s="8">
        <f t="shared" si="0"/>
        <v>0</v>
      </c>
      <c r="G22" s="3"/>
      <c r="H22" s="7">
        <v>0</v>
      </c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0</v>
      </c>
      <c r="U22" s="3"/>
      <c r="V22" s="8">
        <f t="shared" si="5"/>
        <v>0</v>
      </c>
      <c r="W22" s="3"/>
      <c r="X22" s="7">
        <f t="shared" si="6"/>
        <v>0</v>
      </c>
      <c r="Y22" s="3"/>
      <c r="Z22" s="8">
        <f t="shared" si="7"/>
        <v>0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/>
      <c r="E23" s="3"/>
      <c r="F23" s="8">
        <f t="shared" si="0"/>
        <v>0</v>
      </c>
      <c r="G23" s="3"/>
      <c r="H23" s="7">
        <v>0</v>
      </c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0</v>
      </c>
      <c r="U23" s="3"/>
      <c r="V23" s="8">
        <f t="shared" si="5"/>
        <v>0</v>
      </c>
      <c r="W23" s="3"/>
      <c r="X23" s="7">
        <f t="shared" si="6"/>
        <v>0</v>
      </c>
      <c r="Y23" s="3"/>
      <c r="Z23" s="8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/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69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0</v>
      </c>
      <c r="E28" s="2"/>
      <c r="F28" s="6">
        <f t="shared" si="0"/>
        <v>0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0</v>
      </c>
      <c r="M28" s="2"/>
      <c r="N28" s="6">
        <f t="shared" si="3"/>
        <v>0</v>
      </c>
      <c r="O28" s="14"/>
      <c r="P28" s="2">
        <f>SUM(OSRRefP22_1x_0)</f>
        <v>0</v>
      </c>
      <c r="Q28" s="2"/>
      <c r="R28" s="6">
        <f t="shared" si="4"/>
        <v>0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0</v>
      </c>
      <c r="Y28" s="2"/>
      <c r="Z28" s="6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7"/>
      <c r="E29" s="3"/>
      <c r="F29" s="8">
        <f t="shared" si="0"/>
        <v>0</v>
      </c>
      <c r="G29" s="3"/>
      <c r="H29" s="7">
        <v>0</v>
      </c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0</v>
      </c>
      <c r="U29" s="3"/>
      <c r="V29" s="8">
        <f t="shared" si="5"/>
        <v>0</v>
      </c>
      <c r="W29" s="3"/>
      <c r="X29" s="7">
        <f t="shared" si="6"/>
        <v>0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","6003"," - ","STAFF HOURLY-9 MONTH")</f>
        <v xml:space="preserve">          6003 - STAFF HOURLY-9 MONTH</v>
      </c>
      <c r="C31" s="12"/>
      <c r="D31" s="7"/>
      <c r="E31" s="3"/>
      <c r="F31" s="8">
        <f t="shared" si="0"/>
        <v>0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0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","6004"," - ","STAFF HOURLY")</f>
        <v xml:space="preserve">          6004 - STAFF HOURLY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","6005"," - ","TEMPORARY WAGES-HOURLY")</f>
        <v xml:space="preserve">          6005 - TEMPORARY WAGES-HOURLY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","6006"," - ","TEMPORARY PART TIME")</f>
        <v xml:space="preserve">          6006 - TEMPORARY PART TIME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","6009"," - ","TEMPORARY-SEASONAL")</f>
        <v xml:space="preserve">          6009 - TEMPORARY-SEASONAL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","6010"," - ","GRATUITY")</f>
        <v xml:space="preserve">          6010 - GRATUITY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69" customFormat="1" ht="15" customHeight="1" outlineLevel="1" collapsed="1" x14ac:dyDescent="0.3">
      <c r="A39" s="25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SUM(OSRRefD22_2x_0)</f>
        <v>0</v>
      </c>
      <c r="E39" s="2"/>
      <c r="F39" s="6">
        <f t="shared" si="0"/>
        <v>0</v>
      </c>
      <c r="G39" s="2"/>
      <c r="H39" s="2">
        <f>SUM(OSRRefH22_2x_0)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SUM(OSRRefP22_2x_0)</f>
        <v>7816.11</v>
      </c>
      <c r="Q39" s="2"/>
      <c r="R39" s="6">
        <f t="shared" si="4"/>
        <v>0</v>
      </c>
      <c r="S39" s="2"/>
      <c r="T39" s="2">
        <f>SUM(OSRRefT22_2x_0)</f>
        <v>0</v>
      </c>
      <c r="U39" s="2"/>
      <c r="V39" s="6">
        <f t="shared" si="5"/>
        <v>0</v>
      </c>
      <c r="W39" s="2"/>
      <c r="X39" s="2">
        <f t="shared" si="6"/>
        <v>7816.11</v>
      </c>
      <c r="Y39" s="2"/>
      <c r="Z39" s="6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","6279"," - ","GENERAL EXPENSE")</f>
        <v xml:space="preserve">          6279 - GENERAL EXPENSE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>
        <v>7816.11</v>
      </c>
      <c r="Q40" s="3"/>
      <c r="R40" s="8">
        <f t="shared" si="4"/>
        <v>0</v>
      </c>
      <c r="S40" s="3"/>
      <c r="T40" s="7"/>
      <c r="U40" s="3"/>
      <c r="V40" s="8">
        <f t="shared" si="5"/>
        <v>0</v>
      </c>
      <c r="W40" s="3"/>
      <c r="X40" s="7">
        <f t="shared" si="6"/>
        <v>7816.11</v>
      </c>
      <c r="Y40" s="3"/>
      <c r="Z40" s="8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","Services                                          ")</f>
        <v xml:space="preserve">     Services                                          </v>
      </c>
      <c r="C41" s="14"/>
      <c r="D41" s="2">
        <f>SUM(OSRRefD22_3x_0)</f>
        <v>0</v>
      </c>
      <c r="E41" s="2"/>
      <c r="F41" s="6">
        <f t="shared" si="0"/>
        <v>0</v>
      </c>
      <c r="G41" s="2"/>
      <c r="H41" s="2">
        <f>SUM(OSRRefH22_3x_0)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SUM(OSRRefP22_3x_0)</f>
        <v>0</v>
      </c>
      <c r="Q41" s="2"/>
      <c r="R41" s="6">
        <f t="shared" si="4"/>
        <v>0</v>
      </c>
      <c r="S41" s="2"/>
      <c r="T41" s="2">
        <f>SUM(OSRRefT22_3x_0)</f>
        <v>0</v>
      </c>
      <c r="U41" s="2"/>
      <c r="V41" s="6">
        <f t="shared" si="5"/>
        <v>0</v>
      </c>
      <c r="W41" s="2"/>
      <c r="X41" s="2">
        <f t="shared" si="6"/>
        <v>0</v>
      </c>
      <c r="Y41" s="2"/>
      <c r="Z41" s="6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","6284"," - ","TRASH REMOVAL EXPENSE")</f>
        <v xml:space="preserve">          6284 - TRASH REMOVAL EXPENSE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/>
      <c r="Q42" s="3"/>
      <c r="R42" s="8">
        <f t="shared" si="4"/>
        <v>0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0</v>
      </c>
      <c r="Y42" s="3"/>
      <c r="Z42" s="8">
        <f t="shared" si="7"/>
        <v>0</v>
      </c>
    </row>
    <row r="43" spans="1:26" s="69" customFormat="1" ht="15" customHeight="1" outlineLevel="1" collapsed="1" x14ac:dyDescent="0.3">
      <c r="A43" s="25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SUM(OSRRefD22_4x_0)</f>
        <v>0</v>
      </c>
      <c r="E43" s="2"/>
      <c r="F43" s="6">
        <f t="shared" si="0"/>
        <v>0</v>
      </c>
      <c r="G43" s="2"/>
      <c r="H43" s="2">
        <f>SUM(OSRRefH22_4x_0)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SUM(OSRRefP22_4x_0)</f>
        <v>564.03</v>
      </c>
      <c r="Q43" s="2"/>
      <c r="R43" s="6">
        <f t="shared" si="4"/>
        <v>0</v>
      </c>
      <c r="S43" s="2"/>
      <c r="T43" s="2">
        <f>SUM(OSRRefT22_4x_0)</f>
        <v>0</v>
      </c>
      <c r="U43" s="2"/>
      <c r="V43" s="6">
        <f t="shared" si="5"/>
        <v>0</v>
      </c>
      <c r="W43" s="2"/>
      <c r="X43" s="2">
        <f t="shared" si="6"/>
        <v>564.03</v>
      </c>
      <c r="Y43" s="2"/>
      <c r="Z43" s="6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","6241"," - ","OFFICE EXPENSE")</f>
        <v xml:space="preserve">          6241 - OFFICE EXPENSE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564.03</v>
      </c>
      <c r="Q44" s="3"/>
      <c r="R44" s="8">
        <f t="shared" si="4"/>
        <v>0</v>
      </c>
      <c r="S44" s="3"/>
      <c r="T44" s="7"/>
      <c r="U44" s="3"/>
      <c r="V44" s="8">
        <f t="shared" si="5"/>
        <v>0</v>
      </c>
      <c r="W44" s="3"/>
      <c r="X44" s="7">
        <f t="shared" si="6"/>
        <v>564.03</v>
      </c>
      <c r="Y44" s="3"/>
      <c r="Z44" s="8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SUM(OSRRefD22_5x_0)</f>
        <v>36</v>
      </c>
      <c r="E45" s="2"/>
      <c r="F45" s="6">
        <f t="shared" si="0"/>
        <v>0</v>
      </c>
      <c r="G45" s="2"/>
      <c r="H45" s="2">
        <f>SUM(OSRRefH22_5x_0)</f>
        <v>0</v>
      </c>
      <c r="I45" s="2"/>
      <c r="J45" s="6">
        <f t="shared" si="1"/>
        <v>0</v>
      </c>
      <c r="K45" s="2"/>
      <c r="L45" s="2">
        <f t="shared" si="2"/>
        <v>36</v>
      </c>
      <c r="M45" s="2"/>
      <c r="N45" s="6">
        <f t="shared" si="3"/>
        <v>0</v>
      </c>
      <c r="O45" s="14"/>
      <c r="P45" s="2">
        <f>SUM(OSRRefP22_5x_0)</f>
        <v>517.5</v>
      </c>
      <c r="Q45" s="2"/>
      <c r="R45" s="6">
        <f t="shared" si="4"/>
        <v>0</v>
      </c>
      <c r="S45" s="2"/>
      <c r="T45" s="2">
        <f>SUM(OSRRefT22_5x_0)</f>
        <v>0</v>
      </c>
      <c r="U45" s="2"/>
      <c r="V45" s="6">
        <f t="shared" si="5"/>
        <v>0</v>
      </c>
      <c r="W45" s="2"/>
      <c r="X45" s="2">
        <f t="shared" si="6"/>
        <v>517.5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","6309"," - ","TELEPHONE")</f>
        <v xml:space="preserve">          6309 - TELEPHONE</v>
      </c>
      <c r="C46" s="12"/>
      <c r="D46" s="7">
        <v>36</v>
      </c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36</v>
      </c>
      <c r="M46" s="3"/>
      <c r="N46" s="8">
        <f t="shared" si="3"/>
        <v>0</v>
      </c>
      <c r="O46" s="12"/>
      <c r="P46" s="7">
        <v>517.5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517.5</v>
      </c>
      <c r="Y46" s="3"/>
      <c r="Z46" s="8">
        <f t="shared" si="7"/>
        <v>0</v>
      </c>
    </row>
    <row r="47" spans="1:26" s="65" customFormat="1" ht="15" customHeight="1" x14ac:dyDescent="0.3">
      <c r="A47" s="35"/>
      <c r="B47" s="35"/>
      <c r="C47" s="35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5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3" customFormat="1" ht="15" customHeight="1" collapsed="1" x14ac:dyDescent="0.3">
      <c r="A48" s="11"/>
      <c r="B48" s="28" t="s">
        <v>291</v>
      </c>
      <c r="C48" s="11"/>
      <c r="D48" s="5">
        <f>SUM(OSRRefD25x_0)</f>
        <v>6601.19</v>
      </c>
      <c r="E48" s="5"/>
      <c r="F48" s="13">
        <f>IF(D$12=0,0,D48/D$12)</f>
        <v>0</v>
      </c>
      <c r="G48" s="5"/>
      <c r="H48" s="5">
        <f>SUM(OSRRefH25x_0)</f>
        <v>28752.129999999997</v>
      </c>
      <c r="I48" s="5"/>
      <c r="J48" s="13">
        <f>IF(H$12=0,0,H48/H$12)</f>
        <v>0</v>
      </c>
      <c r="K48" s="5"/>
      <c r="L48" s="5">
        <f>+D48-H48</f>
        <v>-22150.94</v>
      </c>
      <c r="M48" s="5"/>
      <c r="N48" s="13">
        <f>IF(H48=0,0,L48/H48)</f>
        <v>-0.77041040089899426</v>
      </c>
      <c r="O48" s="11"/>
      <c r="P48" s="5">
        <f>SUM(OSRRefP25x_0)</f>
        <v>140087.1</v>
      </c>
      <c r="Q48" s="5"/>
      <c r="R48" s="13">
        <f>IF(P$12=0,0,P48/P$12)</f>
        <v>0</v>
      </c>
      <c r="S48" s="5"/>
      <c r="T48" s="5">
        <f>SUM(OSRRefT25x_0)</f>
        <v>134732.53</v>
      </c>
      <c r="U48" s="5"/>
      <c r="V48" s="13">
        <f>IF(T$12=0,0,T48/T$12)</f>
        <v>0</v>
      </c>
      <c r="W48" s="5"/>
      <c r="X48" s="5">
        <f>+P48-T48</f>
        <v>5354.570000000007</v>
      </c>
      <c r="Y48" s="5"/>
      <c r="Z48" s="13">
        <f>IF(T48=0,0,X48/T48)</f>
        <v>3.9742221125069109E-2</v>
      </c>
    </row>
    <row r="49" spans="1:26" s="70" customFormat="1" ht="15" hidden="1" customHeight="1" outlineLevel="1" x14ac:dyDescent="0.3">
      <c r="A49" s="42"/>
      <c r="B49" s="12" t="str">
        <f>CONCATENATE("          ","9150"," - ","MISC. INCOME")</f>
        <v xml:space="preserve">          9150 - MISC. INCOME</v>
      </c>
      <c r="C49" s="12"/>
      <c r="D49" s="3">
        <f>--6601.19</f>
        <v>6601.19</v>
      </c>
      <c r="E49" s="3"/>
      <c r="F49" s="20">
        <f>IF(D$12=0,0,D49/D$12)</f>
        <v>0</v>
      </c>
      <c r="G49" s="3"/>
      <c r="H49" s="3"/>
      <c r="I49" s="3"/>
      <c r="J49" s="20">
        <f>IF(H$12=0,0,H49/H$12)</f>
        <v>0</v>
      </c>
      <c r="K49" s="3"/>
      <c r="L49" s="3">
        <f>+D49-H49</f>
        <v>6601.19</v>
      </c>
      <c r="M49" s="3"/>
      <c r="N49" s="20">
        <f>IF(H49=0,0,L49/H49)</f>
        <v>0</v>
      </c>
      <c r="O49" s="12"/>
      <c r="P49" s="3">
        <f>--140087.1</f>
        <v>140087.1</v>
      </c>
      <c r="Q49" s="3"/>
      <c r="R49" s="20">
        <f>IF(P$12=0,0,P49/P$12)</f>
        <v>0</v>
      </c>
      <c r="S49" s="3"/>
      <c r="T49" s="3">
        <v>1000</v>
      </c>
      <c r="U49" s="3"/>
      <c r="V49" s="20">
        <f>IF(T$12=0,0,T49/T$12)</f>
        <v>0</v>
      </c>
      <c r="W49" s="3"/>
      <c r="X49" s="3">
        <f>+P49-T49</f>
        <v>139087.1</v>
      </c>
      <c r="Y49" s="3"/>
      <c r="Z49" s="20">
        <f>IF(T49=0,0,X49/T49)</f>
        <v>139.08709999999999</v>
      </c>
    </row>
    <row r="50" spans="1:26" s="70" customFormat="1" ht="15" hidden="1" customHeight="1" outlineLevel="1" x14ac:dyDescent="0.3">
      <c r="A50" s="42"/>
      <c r="B50" s="12" t="str">
        <f>CONCATENATE("          ","9151"," - ","MISC. INCOME")</f>
        <v xml:space="preserve">          9151 - MISC. INCOME</v>
      </c>
      <c r="C50" s="12"/>
      <c r="D50" s="3">
        <f>0</f>
        <v>0</v>
      </c>
      <c r="E50" s="3"/>
      <c r="F50" s="20">
        <f>IF(D$12=0,0,D50/D$12)</f>
        <v>0</v>
      </c>
      <c r="G50" s="3"/>
      <c r="H50" s="3">
        <v>12530.38</v>
      </c>
      <c r="I50" s="3"/>
      <c r="J50" s="20">
        <f>IF(H$12=0,0,H50/H$12)</f>
        <v>0</v>
      </c>
      <c r="K50" s="3"/>
      <c r="L50" s="3">
        <f>+D50-H50</f>
        <v>-12530.38</v>
      </c>
      <c r="M50" s="3"/>
      <c r="N50" s="20">
        <f>IF(H50=0,0,L50/H50)</f>
        <v>-1</v>
      </c>
      <c r="O50" s="12"/>
      <c r="P50" s="3">
        <f>0</f>
        <v>0</v>
      </c>
      <c r="Q50" s="3"/>
      <c r="R50" s="20">
        <f>IF(P$12=0,0,P50/P$12)</f>
        <v>0</v>
      </c>
      <c r="S50" s="3"/>
      <c r="T50" s="3">
        <v>57298.91</v>
      </c>
      <c r="U50" s="3"/>
      <c r="V50" s="20">
        <f>IF(T$12=0,0,T50/T$12)</f>
        <v>0</v>
      </c>
      <c r="W50" s="3"/>
      <c r="X50" s="3">
        <f>+P50-T50</f>
        <v>-57298.91</v>
      </c>
      <c r="Y50" s="3"/>
      <c r="Z50" s="20">
        <f>IF(T50=0,0,X50/T50)</f>
        <v>-1</v>
      </c>
    </row>
    <row r="51" spans="1:26" s="70" customFormat="1" ht="15" hidden="1" customHeight="1" outlineLevel="1" x14ac:dyDescent="0.3">
      <c r="A51" s="42"/>
      <c r="B51" s="12" t="str">
        <f>CONCATENATE("          ","9160"," - ","MISC. INCOME")</f>
        <v xml:space="preserve">          9160 - MISC. INCOME</v>
      </c>
      <c r="C51" s="12"/>
      <c r="D51" s="3">
        <f>0</f>
        <v>0</v>
      </c>
      <c r="E51" s="3"/>
      <c r="F51" s="20">
        <f>IF(D$12=0,0,D51/D$12)</f>
        <v>0</v>
      </c>
      <c r="G51" s="3"/>
      <c r="H51" s="3">
        <v>16221.75</v>
      </c>
      <c r="I51" s="3"/>
      <c r="J51" s="20">
        <f>IF(H$12=0,0,H51/H$12)</f>
        <v>0</v>
      </c>
      <c r="K51" s="3"/>
      <c r="L51" s="3">
        <f>+D51-H51</f>
        <v>-16221.75</v>
      </c>
      <c r="M51" s="3"/>
      <c r="N51" s="20">
        <f>IF(H51=0,0,L51/H51)</f>
        <v>-1</v>
      </c>
      <c r="O51" s="12"/>
      <c r="P51" s="3">
        <f>0</f>
        <v>0</v>
      </c>
      <c r="Q51" s="3"/>
      <c r="R51" s="20">
        <f>IF(P$12=0,0,P51/P$12)</f>
        <v>0</v>
      </c>
      <c r="S51" s="3"/>
      <c r="T51" s="3">
        <v>76433.62</v>
      </c>
      <c r="U51" s="3"/>
      <c r="V51" s="20">
        <f>IF(T$12=0,0,T51/T$12)</f>
        <v>0</v>
      </c>
      <c r="W51" s="3"/>
      <c r="X51" s="3">
        <f>+P51-T51</f>
        <v>-76433.62</v>
      </c>
      <c r="Y51" s="3"/>
      <c r="Z51" s="20">
        <f>IF(T51=0,0,X51/T51)</f>
        <v>-1</v>
      </c>
    </row>
    <row r="52" spans="1:26" ht="15" customHeight="1" x14ac:dyDescent="0.3">
      <c r="A52" s="10"/>
      <c r="B52" s="11"/>
      <c r="C52" s="11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O52" s="11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3" customFormat="1" ht="15" customHeight="1" x14ac:dyDescent="0.3">
      <c r="A53" s="11"/>
      <c r="B53" s="27" t="s">
        <v>292</v>
      </c>
      <c r="C53" s="27"/>
      <c r="D53" s="21">
        <f>+D16-D18+D48</f>
        <v>6565.19</v>
      </c>
      <c r="E53" s="15"/>
      <c r="F53" s="23">
        <f>IF(D$12=0,0,D53/D$12)</f>
        <v>0</v>
      </c>
      <c r="G53" s="15"/>
      <c r="H53" s="21">
        <f>+H16-H18+H48</f>
        <v>28752.129999999997</v>
      </c>
      <c r="I53" s="15"/>
      <c r="J53" s="23">
        <f>IF(H$12=0,0,H53/H$12)</f>
        <v>0</v>
      </c>
      <c r="K53" s="17"/>
      <c r="L53" s="21">
        <f>+D53-H53</f>
        <v>-22186.94</v>
      </c>
      <c r="M53" s="17"/>
      <c r="N53" s="23">
        <f>IF(H53=0,0,L53/H53)</f>
        <v>-0.771662482049156</v>
      </c>
      <c r="O53" s="28"/>
      <c r="P53" s="21">
        <f>+P16-P18+P48</f>
        <v>131189.46000000002</v>
      </c>
      <c r="Q53" s="15"/>
      <c r="R53" s="23">
        <f>IF(P$12=0,0,P53/P$12)</f>
        <v>0</v>
      </c>
      <c r="S53" s="15"/>
      <c r="T53" s="21">
        <f>+T16-T18+T48</f>
        <v>134732.53</v>
      </c>
      <c r="U53" s="15"/>
      <c r="V53" s="23">
        <f>IF(T$12=0,0,T53/T$12)</f>
        <v>0</v>
      </c>
      <c r="W53" s="17"/>
      <c r="X53" s="21">
        <f>+P53-T53</f>
        <v>-3543.0699999999779</v>
      </c>
      <c r="Y53" s="17"/>
      <c r="Z53" s="23">
        <f>IF(T53=0,0,X53/T53)</f>
        <v>-2.6297064265029223E-2</v>
      </c>
    </row>
    <row r="54" spans="1:26" ht="15" customHeight="1" x14ac:dyDescent="0.3">
      <c r="A54" s="10"/>
      <c r="B54" s="11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3" customFormat="1" ht="15" customHeight="1" x14ac:dyDescent="0.3">
      <c r="A55" s="49"/>
      <c r="B55" s="11" t="s">
        <v>293</v>
      </c>
      <c r="C55" s="11"/>
      <c r="D55" s="5"/>
      <c r="E55" s="5"/>
      <c r="F55" s="13">
        <f>IF(D$12=0,0,D55/D$12)</f>
        <v>0</v>
      </c>
      <c r="G55" s="5"/>
      <c r="H55" s="5"/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/>
      <c r="Q55" s="5"/>
      <c r="R55" s="13">
        <f>IF(P$12=0,0,P55/P$12)</f>
        <v>0</v>
      </c>
      <c r="S55" s="5"/>
      <c r="T55" s="5"/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3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3">
      <c r="A57" s="11"/>
      <c r="B57" s="27" t="s">
        <v>294</v>
      </c>
      <c r="C57" s="27"/>
      <c r="D57" s="29">
        <f>+D53-D55</f>
        <v>6565.19</v>
      </c>
      <c r="E57" s="15"/>
      <c r="F57" s="30">
        <f>IF(D$12=0,0,D57/D$12)</f>
        <v>0</v>
      </c>
      <c r="G57" s="15"/>
      <c r="H57" s="29">
        <f>+H53-H55</f>
        <v>28752.129999999997</v>
      </c>
      <c r="I57" s="15"/>
      <c r="J57" s="30">
        <f>IF(H$12=0,0,H57/H$12)</f>
        <v>0</v>
      </c>
      <c r="K57" s="17"/>
      <c r="L57" s="29">
        <f>D57-H57</f>
        <v>-22186.94</v>
      </c>
      <c r="M57" s="17"/>
      <c r="N57" s="30">
        <f>IF(H57=0,0,L57/H57)</f>
        <v>-0.771662482049156</v>
      </c>
      <c r="O57" s="28"/>
      <c r="P57" s="29">
        <f>+P53-P55</f>
        <v>131189.46000000002</v>
      </c>
      <c r="Q57" s="15"/>
      <c r="R57" s="30">
        <f>IF(P$12=0,0,P57/P$12)</f>
        <v>0</v>
      </c>
      <c r="S57" s="15"/>
      <c r="T57" s="29">
        <f>+T53-T55</f>
        <v>134732.53</v>
      </c>
      <c r="U57" s="15"/>
      <c r="V57" s="30">
        <f>IF(T$12=0,0,T57/T$12)</f>
        <v>0</v>
      </c>
      <c r="W57" s="17"/>
      <c r="X57" s="29">
        <f>P57-T57</f>
        <v>-3543.0699999999779</v>
      </c>
      <c r="Y57" s="17"/>
      <c r="Z57" s="30">
        <f>IF(T57=0,0,X57/T57)</f>
        <v>-2.6297064265029223E-2</v>
      </c>
    </row>
    <row r="58" spans="1:26" ht="15" customHeight="1" x14ac:dyDescent="0.3">
      <c r="A58" s="10"/>
      <c r="B58" s="10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ht="15" customHeight="1" x14ac:dyDescent="0.3">
      <c r="A59" s="10"/>
      <c r="B59" s="10"/>
      <c r="C59" s="10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3">
      <c r="A60" s="11"/>
      <c r="B60" s="27" t="s">
        <v>297</v>
      </c>
      <c r="C60" s="27"/>
      <c r="D60" s="32">
        <f>SUM(D57:D59)</f>
        <v>6565.19</v>
      </c>
      <c r="E60" s="15"/>
      <c r="F60" s="34">
        <f>IF(D$12=0,0,D60/D$12)</f>
        <v>0</v>
      </c>
      <c r="G60" s="15"/>
      <c r="H60" s="32">
        <f>SUM(H57:H59)</f>
        <v>28752.129999999997</v>
      </c>
      <c r="I60" s="15"/>
      <c r="J60" s="34">
        <f>IF(H$12=0,0,H60/H$12)</f>
        <v>0</v>
      </c>
      <c r="K60" s="17"/>
      <c r="L60" s="32">
        <f>+D60-H60</f>
        <v>-22186.94</v>
      </c>
      <c r="M60" s="17"/>
      <c r="N60" s="34">
        <f>IF(H60=0,0,L60/H60)</f>
        <v>-0.771662482049156</v>
      </c>
      <c r="O60" s="28"/>
      <c r="P60" s="32">
        <f>SUM(P57:P59)</f>
        <v>131189.46000000002</v>
      </c>
      <c r="Q60" s="15"/>
      <c r="R60" s="34">
        <f>IF(P$12=0,0,P60/P$12)</f>
        <v>0</v>
      </c>
      <c r="S60" s="15"/>
      <c r="T60" s="32">
        <f>SUM(T57:T59)</f>
        <v>134732.53</v>
      </c>
      <c r="U60" s="15"/>
      <c r="V60" s="34">
        <f>IF(T$12=0,0,T60/T$12)</f>
        <v>0</v>
      </c>
      <c r="W60" s="17"/>
      <c r="X60" s="32">
        <f>+P60-T60</f>
        <v>-3543.0699999999779</v>
      </c>
      <c r="Y60" s="17"/>
      <c r="Z60" s="34">
        <f>IF(T60=0,0,X60/T60)</f>
        <v>-2.6297064265029223E-2</v>
      </c>
    </row>
    <row r="61" spans="1:26" ht="15" customHeight="1" x14ac:dyDescent="0.3">
      <c r="A61" s="10"/>
      <c r="C61" s="10"/>
      <c r="D61" s="19"/>
      <c r="E61" s="19"/>
      <c r="G61" s="19"/>
      <c r="H61" s="19"/>
      <c r="I61" s="19"/>
      <c r="J61" s="40"/>
      <c r="K61" s="19"/>
      <c r="L61" s="19"/>
      <c r="M61" s="19"/>
      <c r="P61" s="19"/>
      <c r="Q61" s="19"/>
      <c r="R61" s="40"/>
      <c r="S61" s="19"/>
      <c r="T61" s="19"/>
      <c r="U61" s="19"/>
      <c r="V61" s="40"/>
      <c r="W61" s="19"/>
      <c r="X61" s="19"/>
    </row>
    <row r="62" spans="1:26" ht="15" customHeight="1" x14ac:dyDescent="0.3">
      <c r="A62" s="10"/>
      <c r="B62" s="56">
        <v>44694.888552430559</v>
      </c>
      <c r="D62" s="19"/>
      <c r="E62" s="19"/>
      <c r="G62" s="19"/>
      <c r="H62" s="19"/>
      <c r="I62" s="19"/>
      <c r="J62" s="40"/>
      <c r="K62" s="19"/>
      <c r="L62" s="19"/>
      <c r="M62" s="19"/>
      <c r="P62" s="19"/>
      <c r="Q62" s="19"/>
      <c r="R62" s="40"/>
      <c r="S62" s="19"/>
      <c r="T62" s="19"/>
      <c r="U62" s="19"/>
      <c r="V62" s="40"/>
      <c r="W62" s="19"/>
      <c r="X62" s="19"/>
    </row>
    <row r="63" spans="1:26" ht="15" customHeight="1" x14ac:dyDescent="0.3">
      <c r="A63" s="10"/>
      <c r="B63" s="50" t="s">
        <v>298</v>
      </c>
      <c r="D63" s="19"/>
      <c r="E63" s="19"/>
      <c r="G63" s="19"/>
      <c r="H63" s="19"/>
      <c r="I63" s="19"/>
      <c r="J63" s="40"/>
      <c r="K63" s="19"/>
      <c r="L63" s="19"/>
      <c r="M63" s="19"/>
      <c r="P63" s="19"/>
      <c r="Q63" s="19"/>
      <c r="R63" s="40"/>
      <c r="S63" s="19"/>
      <c r="T63" s="19"/>
      <c r="U63" s="19"/>
      <c r="V63" s="40"/>
      <c r="W63" s="19"/>
      <c r="X63" s="19"/>
    </row>
    <row r="64" spans="1:26" ht="15" customHeight="1" x14ac:dyDescent="0.3">
      <c r="A64" s="10"/>
      <c r="B64" s="51"/>
      <c r="D64" s="19"/>
      <c r="E64" s="19"/>
      <c r="G64" s="19"/>
      <c r="H64" s="19"/>
      <c r="I64" s="19"/>
      <c r="J64" s="40"/>
      <c r="K64" s="19"/>
      <c r="L64" s="19"/>
      <c r="M64" s="19"/>
      <c r="P64" s="19"/>
      <c r="Q64" s="19"/>
      <c r="R64" s="40"/>
      <c r="S64" s="19"/>
      <c r="T64" s="19"/>
      <c r="U64" s="19"/>
      <c r="V64" s="40"/>
      <c r="W64" s="19"/>
      <c r="X64" s="19"/>
    </row>
    <row r="65" spans="4:24" ht="15" customHeight="1" x14ac:dyDescent="0.3">
      <c r="D65" s="19"/>
      <c r="E65" s="19"/>
      <c r="G65" s="19"/>
      <c r="H65" s="19"/>
      <c r="I65" s="19"/>
      <c r="J65" s="40"/>
      <c r="K65" s="19"/>
      <c r="L65" s="19"/>
      <c r="M65" s="19"/>
      <c r="P65" s="19"/>
      <c r="Q65" s="19"/>
      <c r="R65" s="40"/>
      <c r="S65" s="19"/>
      <c r="T65" s="19"/>
      <c r="U65" s="19"/>
      <c r="V65" s="40"/>
      <c r="W65" s="19"/>
      <c r="X6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CBEC1-7D4F-A7DF-513A-406298D6B80B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","424"," - ","Blair Field")</f>
        <v>Department 424 - Blair Field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479.29</v>
      </c>
      <c r="E18" s="22"/>
      <c r="F18" s="33">
        <f t="shared" ref="F18:F24" si="0">IF(D$12=0,0,D18/D$12)</f>
        <v>0</v>
      </c>
      <c r="G18" s="22"/>
      <c r="H18" s="22" cm="1">
        <f t="array" ref="H18">SUM(OSRRefH22x_0)</f>
        <v>479</v>
      </c>
      <c r="I18" s="22"/>
      <c r="J18" s="33">
        <f t="shared" ref="J18:J24" si="1">IF(H$12=0,0,H18/H$12)</f>
        <v>0</v>
      </c>
      <c r="K18" s="5"/>
      <c r="L18" s="22">
        <f t="shared" ref="L18:L24" si="2">+D18-H18</f>
        <v>0.29000000000002046</v>
      </c>
      <c r="M18" s="5"/>
      <c r="N18" s="33">
        <f t="shared" ref="N18:N24" si="3">IF(H18=0,0,L18/H18)</f>
        <v>6.054279749478506E-4</v>
      </c>
      <c r="O18" s="11"/>
      <c r="P18" s="22" cm="1">
        <f t="array" ref="P18">SUM(OSRRefP22x_0)</f>
        <v>5271.9</v>
      </c>
      <c r="Q18" s="22"/>
      <c r="R18" s="33">
        <f t="shared" ref="R18:R24" si="4">IF(P$12=0,0,P18/P$12)</f>
        <v>0</v>
      </c>
      <c r="S18" s="22"/>
      <c r="T18" s="22" cm="1">
        <f t="array" ref="T18">SUM(OSRRefT22x_0)</f>
        <v>4790</v>
      </c>
      <c r="U18" s="22"/>
      <c r="V18" s="33">
        <f t="shared" ref="V18:V24" si="5">IF(T$12=0,0,T18/T$12)</f>
        <v>0</v>
      </c>
      <c r="W18" s="5"/>
      <c r="X18" s="22">
        <f t="shared" ref="X18:X24" si="6">+P18-T18</f>
        <v>481.89999999999964</v>
      </c>
      <c r="Y18" s="5"/>
      <c r="Z18" s="33">
        <f t="shared" ref="Z18:Z24" si="7">IF(T18=0,0,X18/T18)</f>
        <v>0.10060542797494773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</v>
      </c>
      <c r="I19" s="2"/>
      <c r="J19" s="6">
        <f t="shared" si="1"/>
        <v>0</v>
      </c>
      <c r="K19" s="2"/>
      <c r="L19" s="2">
        <f t="shared" si="2"/>
        <v>0.29000000000002046</v>
      </c>
      <c r="M19" s="2"/>
      <c r="N19" s="6">
        <f t="shared" si="3"/>
        <v>6.054279749478506E-4</v>
      </c>
      <c r="O19" s="14"/>
      <c r="P19" s="2">
        <f>SUM(OSRRefP22_0x_0)</f>
        <v>4792.8999999999996</v>
      </c>
      <c r="Q19" s="2"/>
      <c r="R19" s="6">
        <f t="shared" si="4"/>
        <v>0</v>
      </c>
      <c r="S19" s="2"/>
      <c r="T19" s="2">
        <f>SUM(OSRRefT22_0x_0)</f>
        <v>4790</v>
      </c>
      <c r="U19" s="2"/>
      <c r="V19" s="6">
        <f t="shared" si="5"/>
        <v>0</v>
      </c>
      <c r="W19" s="2"/>
      <c r="X19" s="2">
        <f t="shared" si="6"/>
        <v>2.8999999999996362</v>
      </c>
      <c r="Y19" s="2"/>
      <c r="Z19" s="6">
        <f t="shared" si="7"/>
        <v>6.0542797494773199E-4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7">
        <v>479.29</v>
      </c>
      <c r="E20" s="3"/>
      <c r="F20" s="8">
        <f t="shared" si="0"/>
        <v>0</v>
      </c>
      <c r="G20" s="3"/>
      <c r="H20" s="7">
        <v>479</v>
      </c>
      <c r="I20" s="3"/>
      <c r="J20" s="8">
        <f t="shared" si="1"/>
        <v>0</v>
      </c>
      <c r="K20" s="3"/>
      <c r="L20" s="7">
        <f t="shared" si="2"/>
        <v>0.29000000000002046</v>
      </c>
      <c r="M20" s="3"/>
      <c r="N20" s="8">
        <f t="shared" si="3"/>
        <v>6.054279749478506E-4</v>
      </c>
      <c r="O20" s="12"/>
      <c r="P20" s="7">
        <v>4792.8999999999996</v>
      </c>
      <c r="Q20" s="3"/>
      <c r="R20" s="8">
        <f t="shared" si="4"/>
        <v>0</v>
      </c>
      <c r="S20" s="3"/>
      <c r="T20" s="7">
        <v>4790</v>
      </c>
      <c r="U20" s="3"/>
      <c r="V20" s="8">
        <f t="shared" si="5"/>
        <v>0</v>
      </c>
      <c r="W20" s="3"/>
      <c r="X20" s="7">
        <f t="shared" si="6"/>
        <v>2.8999999999996362</v>
      </c>
      <c r="Y20" s="3"/>
      <c r="Z20" s="8">
        <f t="shared" si="7"/>
        <v>6.0542797494773199E-4</v>
      </c>
    </row>
    <row r="21" spans="1:26" s="69" customFormat="1" ht="15" customHeight="1" outlineLevel="1" collapsed="1" x14ac:dyDescent="0.3">
      <c r="A21" s="25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479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","6279"," - ","GENERAL EXPENSE")</f>
        <v xml:space="preserve">          6279 - GENERAL EXPENSE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>
        <v>479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479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+D16-D18+D26</f>
        <v>-479.29</v>
      </c>
      <c r="E28" s="15"/>
      <c r="F28" s="23">
        <f>IF(D$12=0,0,D28/D$12)</f>
        <v>0</v>
      </c>
      <c r="G28" s="15"/>
      <c r="H28" s="21">
        <f>+H16-H18+H26</f>
        <v>-479</v>
      </c>
      <c r="I28" s="15"/>
      <c r="J28" s="23">
        <f>IF(H$12=0,0,H28/H$12)</f>
        <v>0</v>
      </c>
      <c r="K28" s="17"/>
      <c r="L28" s="21">
        <f>+D28-H28</f>
        <v>-0.29000000000002046</v>
      </c>
      <c r="M28" s="17"/>
      <c r="N28" s="23">
        <f>IF(H28=0,0,L28/H28)</f>
        <v>6.054279749478506E-4</v>
      </c>
      <c r="O28" s="28"/>
      <c r="P28" s="21">
        <f>+P16-P18+P26</f>
        <v>-5271.9</v>
      </c>
      <c r="Q28" s="15"/>
      <c r="R28" s="23">
        <f>IF(P$12=0,0,P28/P$12)</f>
        <v>0</v>
      </c>
      <c r="S28" s="15"/>
      <c r="T28" s="21">
        <f>+T16-T18+T26</f>
        <v>-4790</v>
      </c>
      <c r="U28" s="15"/>
      <c r="V28" s="23">
        <f>IF(T$12=0,0,T28/T$12)</f>
        <v>0</v>
      </c>
      <c r="W28" s="17"/>
      <c r="X28" s="21">
        <f>+P28-T28</f>
        <v>-481.89999999999964</v>
      </c>
      <c r="Y28" s="17"/>
      <c r="Z28" s="23">
        <f>IF(T28=0,0,X28/T28)</f>
        <v>0.10060542797494773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29">
        <f>+D28-D30</f>
        <v>-479.29</v>
      </c>
      <c r="E32" s="15"/>
      <c r="F32" s="30">
        <f>IF(D$12=0,0,D32/D$12)</f>
        <v>0</v>
      </c>
      <c r="G32" s="15"/>
      <c r="H32" s="29">
        <f>+H28-H30</f>
        <v>-479</v>
      </c>
      <c r="I32" s="15"/>
      <c r="J32" s="30">
        <f>IF(H$12=0,0,H32/H$12)</f>
        <v>0</v>
      </c>
      <c r="K32" s="17"/>
      <c r="L32" s="29">
        <f>D32-H32</f>
        <v>-0.29000000000002046</v>
      </c>
      <c r="M32" s="17"/>
      <c r="N32" s="30">
        <f>IF(H32=0,0,L32/H32)</f>
        <v>6.054279749478506E-4</v>
      </c>
      <c r="O32" s="28"/>
      <c r="P32" s="29">
        <f>+P28-P30</f>
        <v>-5271.9</v>
      </c>
      <c r="Q32" s="15"/>
      <c r="R32" s="30">
        <f>IF(P$12=0,0,P32/P$12)</f>
        <v>0</v>
      </c>
      <c r="S32" s="15"/>
      <c r="T32" s="29">
        <f>+T28-T30</f>
        <v>-4790</v>
      </c>
      <c r="U32" s="15"/>
      <c r="V32" s="30">
        <f>IF(T$12=0,0,T32/T$12)</f>
        <v>0</v>
      </c>
      <c r="W32" s="17"/>
      <c r="X32" s="29">
        <f>P32-T32</f>
        <v>-481.89999999999964</v>
      </c>
      <c r="Y32" s="17"/>
      <c r="Z32" s="30">
        <f>IF(T32=0,0,X32/T32)</f>
        <v>0.10060542797494773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-479.29</v>
      </c>
      <c r="E35" s="15"/>
      <c r="F35" s="34">
        <f>IF(D$12=0,0,D35/D$12)</f>
        <v>0</v>
      </c>
      <c r="G35" s="15"/>
      <c r="H35" s="32">
        <f>SUM(H32:H34)</f>
        <v>-479</v>
      </c>
      <c r="I35" s="15"/>
      <c r="J35" s="34">
        <f>IF(H$12=0,0,H35/H$12)</f>
        <v>0</v>
      </c>
      <c r="K35" s="17"/>
      <c r="L35" s="32">
        <f>+D35-H35</f>
        <v>-0.29000000000002046</v>
      </c>
      <c r="M35" s="17"/>
      <c r="N35" s="34">
        <f>IF(H35=0,0,L35/H35)</f>
        <v>6.054279749478506E-4</v>
      </c>
      <c r="O35" s="28"/>
      <c r="P35" s="32">
        <f>SUM(P32:P34)</f>
        <v>-5271.9</v>
      </c>
      <c r="Q35" s="15"/>
      <c r="R35" s="34">
        <f>IF(P$12=0,0,P35/P$12)</f>
        <v>0</v>
      </c>
      <c r="S35" s="15"/>
      <c r="T35" s="32">
        <f>SUM(T32:T34)</f>
        <v>-4790</v>
      </c>
      <c r="U35" s="15"/>
      <c r="V35" s="34">
        <f>IF(T$12=0,0,T35/T$12)</f>
        <v>0</v>
      </c>
      <c r="W35" s="17"/>
      <c r="X35" s="32">
        <f>+P35-T35</f>
        <v>-481.89999999999964</v>
      </c>
      <c r="Y35" s="17"/>
      <c r="Z35" s="34">
        <f>IF(T35=0,0,X35/T35)</f>
        <v>0.10060542797494773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6">
        <v>44694.888552430559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0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1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DAAEB-A27F-0CCF-87A9-764ECB4F4415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","425"," - ","Events Center")</f>
        <v>Department 425 - Events Center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7381.41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7381.41</v>
      </c>
      <c r="M12" s="5"/>
      <c r="N12" s="13">
        <f>IF(H12=0,0,L12/H12)</f>
        <v>0</v>
      </c>
      <c r="O12" s="11"/>
      <c r="P12" s="5">
        <f>SUM(OSRRefP13x_0)</f>
        <v>24251.84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24251.84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--7381.41</f>
        <v>7381.41</v>
      </c>
      <c r="E13" s="3"/>
      <c r="F13" s="20"/>
      <c r="G13" s="3"/>
      <c r="H13" s="3"/>
      <c r="I13" s="3"/>
      <c r="J13" s="20"/>
      <c r="K13" s="3"/>
      <c r="L13" s="3">
        <f>+D13-H13</f>
        <v>7381.41</v>
      </c>
      <c r="M13" s="3"/>
      <c r="N13" s="20">
        <f>IF(H13=0,0,L13/H13)</f>
        <v>0</v>
      </c>
      <c r="O13" s="12"/>
      <c r="P13" s="3">
        <f>--24251.84</f>
        <v>24251.84</v>
      </c>
      <c r="Q13" s="3"/>
      <c r="R13" s="20"/>
      <c r="S13" s="3"/>
      <c r="T13" s="3"/>
      <c r="U13" s="3"/>
      <c r="V13" s="20"/>
      <c r="W13" s="3"/>
      <c r="X13" s="3">
        <f>+P13-T13</f>
        <v>24251.84</v>
      </c>
      <c r="Y13" s="3"/>
      <c r="Z13" s="20">
        <f>IF(T13=0,0,X13/T13)</f>
        <v>0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>
        <f>SUM(OSRRefD16x_0)</f>
        <v>2943.94</v>
      </c>
      <c r="E15" s="5"/>
      <c r="F15" s="13">
        <f>IF(D$12=0,0,D15/D$12)</f>
        <v>0.39883165953388311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2943.94</v>
      </c>
      <c r="M15" s="5"/>
      <c r="N15" s="13">
        <f>IF(H15=0,0,L15/H15)</f>
        <v>0</v>
      </c>
      <c r="O15" s="11"/>
      <c r="P15" s="5">
        <f>SUM(OSRRefP16x_0)</f>
        <v>10512.19</v>
      </c>
      <c r="Q15" s="5"/>
      <c r="R15" s="13">
        <f>IF(P$12=0,0,P15/P$12)</f>
        <v>0.43345948183725441</v>
      </c>
      <c r="S15" s="5"/>
      <c r="T15" s="5">
        <f>SUM(OSRRefT16x_0)</f>
        <v>0</v>
      </c>
      <c r="U15" s="5"/>
      <c r="V15" s="13">
        <f>IF(T$12=0,0,T15/T$12)</f>
        <v>0</v>
      </c>
      <c r="W15" s="5"/>
      <c r="X15" s="5">
        <f>+P15-T15</f>
        <v>10512.19</v>
      </c>
      <c r="Y15" s="5"/>
      <c r="Z15" s="13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2943.94</v>
      </c>
      <c r="E16" s="3"/>
      <c r="F16" s="20">
        <f>IF(D$12=0,0,D16/D$12)</f>
        <v>0.39883165953388311</v>
      </c>
      <c r="G16" s="3"/>
      <c r="H16" s="3"/>
      <c r="I16" s="3"/>
      <c r="J16" s="20">
        <f>IF(H$12=0,0,H16/H$12)</f>
        <v>0</v>
      </c>
      <c r="K16" s="3"/>
      <c r="L16" s="3">
        <f>+D16-H16</f>
        <v>2943.94</v>
      </c>
      <c r="M16" s="3"/>
      <c r="N16" s="20">
        <f>IF(H16=0,0,L16/H16)</f>
        <v>0</v>
      </c>
      <c r="O16" s="12"/>
      <c r="P16" s="3">
        <v>10512.19</v>
      </c>
      <c r="Q16" s="3"/>
      <c r="R16" s="20">
        <f>IF(P$12=0,0,P16/P$12)</f>
        <v>0.43345948183725441</v>
      </c>
      <c r="S16" s="3"/>
      <c r="T16" s="3"/>
      <c r="U16" s="3"/>
      <c r="V16" s="20">
        <f>IF(T$12=0,0,T16/T$12)</f>
        <v>0</v>
      </c>
      <c r="W16" s="3"/>
      <c r="X16" s="3">
        <f>+P16-T16</f>
        <v>10512.19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>
        <f>D12-D15</f>
        <v>4437.4699999999993</v>
      </c>
      <c r="E18" s="15"/>
      <c r="F18" s="23">
        <f>IF(D$12=0,0,D18/D$12)</f>
        <v>0.60116834046611678</v>
      </c>
      <c r="G18" s="15"/>
      <c r="H18" s="21">
        <f>H12-H15</f>
        <v>0</v>
      </c>
      <c r="I18" s="15"/>
      <c r="J18" s="23">
        <f>IF(H$12=0,0,H18/H$12)</f>
        <v>0</v>
      </c>
      <c r="K18" s="17"/>
      <c r="L18" s="21">
        <f>+D18-H18</f>
        <v>4437.4699999999993</v>
      </c>
      <c r="M18" s="17"/>
      <c r="N18" s="23">
        <f>IF(H18=0,0,L18/H18)</f>
        <v>0</v>
      </c>
      <c r="O18" s="28"/>
      <c r="P18" s="21">
        <f>P12-P15</f>
        <v>13739.65</v>
      </c>
      <c r="Q18" s="15"/>
      <c r="R18" s="23">
        <f>IF(P$12=0,0,P18/P$12)</f>
        <v>0.56654051816274553</v>
      </c>
      <c r="S18" s="15"/>
      <c r="T18" s="21">
        <f>T12-T15</f>
        <v>0</v>
      </c>
      <c r="U18" s="15"/>
      <c r="V18" s="23">
        <f>IF(T$12=0,0,T18/T$12)</f>
        <v>0</v>
      </c>
      <c r="W18" s="17"/>
      <c r="X18" s="21">
        <f>+P18-T18</f>
        <v>13739.65</v>
      </c>
      <c r="Y18" s="17"/>
      <c r="Z18" s="23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cm="1">
        <f t="array" ref="D20">SUM(OSRRefD22x_0)</f>
        <v>3127.63</v>
      </c>
      <c r="E20" s="22"/>
      <c r="F20" s="33">
        <f t="shared" ref="F20:F32" si="0">IF(D$12=0,0,D20/D$12)</f>
        <v>0.42371714889160744</v>
      </c>
      <c r="G20" s="22"/>
      <c r="H20" s="22" cm="1">
        <f t="array" ref="H20">SUM(OSRRefH22x_0)</f>
        <v>1001</v>
      </c>
      <c r="I20" s="22"/>
      <c r="J20" s="33">
        <f t="shared" ref="J20:J32" si="1">IF(H$12=0,0,H20/H$12)</f>
        <v>0</v>
      </c>
      <c r="K20" s="5"/>
      <c r="L20" s="22">
        <f t="shared" ref="L20:L32" si="2">+D20-H20</f>
        <v>2126.63</v>
      </c>
      <c r="M20" s="5"/>
      <c r="N20" s="33">
        <f t="shared" ref="N20:N32" si="3">IF(H20=0,0,L20/H20)</f>
        <v>2.1245054945054944</v>
      </c>
      <c r="O20" s="11"/>
      <c r="P20" s="22" cm="1">
        <f t="array" ref="P20">SUM(OSRRefP22x_0)</f>
        <v>21737.87</v>
      </c>
      <c r="Q20" s="22"/>
      <c r="R20" s="33">
        <f t="shared" ref="R20:R32" si="4">IF(P$12=0,0,P20/P$12)</f>
        <v>0.8963389994326203</v>
      </c>
      <c r="S20" s="22"/>
      <c r="T20" s="22" cm="1">
        <f t="array" ref="T20">SUM(OSRRefT22x_0)</f>
        <v>10010</v>
      </c>
      <c r="U20" s="22"/>
      <c r="V20" s="33">
        <f t="shared" ref="V20:V32" si="5">IF(T$12=0,0,T20/T$12)</f>
        <v>0</v>
      </c>
      <c r="W20" s="5"/>
      <c r="X20" s="22">
        <f t="shared" ref="X20:X32" si="6">+P20-T20</f>
        <v>11727.869999999999</v>
      </c>
      <c r="Y20" s="5"/>
      <c r="Z20" s="33">
        <f t="shared" ref="Z20:Z32" si="7">IF(T20=0,0,X20/T20)</f>
        <v>1.1716153846153845</v>
      </c>
    </row>
    <row r="21" spans="1:26" s="69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SUM(OSRRefD22_0x_0)</f>
        <v>181.37</v>
      </c>
      <c r="E21" s="2"/>
      <c r="F21" s="6">
        <f t="shared" si="0"/>
        <v>2.4571186263870996E-2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181.37</v>
      </c>
      <c r="M21" s="2"/>
      <c r="N21" s="6">
        <f t="shared" si="3"/>
        <v>0</v>
      </c>
      <c r="O21" s="14"/>
      <c r="P21" s="2">
        <f>SUM(OSRRefP22_0x_0)</f>
        <v>494.45</v>
      </c>
      <c r="Q21" s="2"/>
      <c r="R21" s="6">
        <f t="shared" si="4"/>
        <v>2.0388143744969452E-2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494.45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7">
        <v>181.37</v>
      </c>
      <c r="E22" s="3"/>
      <c r="F22" s="8">
        <f t="shared" si="0"/>
        <v>2.4571186263870996E-2</v>
      </c>
      <c r="G22" s="3"/>
      <c r="H22" s="7"/>
      <c r="I22" s="3"/>
      <c r="J22" s="8">
        <f t="shared" si="1"/>
        <v>0</v>
      </c>
      <c r="K22" s="3"/>
      <c r="L22" s="7">
        <f t="shared" si="2"/>
        <v>181.37</v>
      </c>
      <c r="M22" s="3"/>
      <c r="N22" s="8">
        <f t="shared" si="3"/>
        <v>0</v>
      </c>
      <c r="O22" s="12"/>
      <c r="P22" s="7">
        <v>494.45</v>
      </c>
      <c r="Q22" s="3"/>
      <c r="R22" s="8">
        <f t="shared" si="4"/>
        <v>2.0388143744969452E-2</v>
      </c>
      <c r="S22" s="3"/>
      <c r="T22" s="7"/>
      <c r="U22" s="3"/>
      <c r="V22" s="8">
        <f t="shared" si="5"/>
        <v>0</v>
      </c>
      <c r="W22" s="3"/>
      <c r="X22" s="7">
        <f t="shared" si="6"/>
        <v>494.45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","Depreciation                                      ")</f>
        <v xml:space="preserve">     Depreciation                                      </v>
      </c>
      <c r="C23" s="14"/>
      <c r="D23" s="2">
        <f>SUM(OSRRefD22_1x_0)</f>
        <v>1000.91</v>
      </c>
      <c r="E23" s="2"/>
      <c r="F23" s="6">
        <f t="shared" si="0"/>
        <v>0.1355987541675642</v>
      </c>
      <c r="G23" s="2"/>
      <c r="H23" s="2">
        <f>SUM(OSRRefH22_1x_0)</f>
        <v>1001</v>
      </c>
      <c r="I23" s="2"/>
      <c r="J23" s="6">
        <f t="shared" si="1"/>
        <v>0</v>
      </c>
      <c r="K23" s="2"/>
      <c r="L23" s="2">
        <f t="shared" si="2"/>
        <v>-9.0000000000031832E-2</v>
      </c>
      <c r="M23" s="2"/>
      <c r="N23" s="6">
        <f t="shared" si="3"/>
        <v>-8.9910089910121704E-5</v>
      </c>
      <c r="O23" s="14"/>
      <c r="P23" s="2">
        <f>SUM(OSRRefP22_1x_0)</f>
        <v>10009.1</v>
      </c>
      <c r="Q23" s="2"/>
      <c r="R23" s="6">
        <f t="shared" si="4"/>
        <v>0.41271507646430128</v>
      </c>
      <c r="S23" s="2"/>
      <c r="T23" s="2">
        <f>SUM(OSRRefT22_1x_0)</f>
        <v>10010</v>
      </c>
      <c r="U23" s="2"/>
      <c r="V23" s="6">
        <f t="shared" si="5"/>
        <v>0</v>
      </c>
      <c r="W23" s="2"/>
      <c r="X23" s="2">
        <f t="shared" si="6"/>
        <v>-0.8999999999996362</v>
      </c>
      <c r="Y23" s="2"/>
      <c r="Z23" s="6">
        <f t="shared" si="7"/>
        <v>-8.9910089910053562E-5</v>
      </c>
    </row>
    <row r="24" spans="1:26" s="70" customFormat="1" ht="15" hidden="1" customHeight="1" outlineLevel="2" x14ac:dyDescent="0.3">
      <c r="A24" s="26"/>
      <c r="B24" s="12" t="str">
        <f>CONCATENATE("          ","6322"," - ","EQUIPMENT DEPRECIATION EXPENSE")</f>
        <v xml:space="preserve">          6322 - EQUIPMENT DEPRECIATION EXPENSE</v>
      </c>
      <c r="C24" s="12"/>
      <c r="D24" s="7">
        <v>1000.91</v>
      </c>
      <c r="E24" s="3"/>
      <c r="F24" s="8">
        <f t="shared" si="0"/>
        <v>0.1355987541675642</v>
      </c>
      <c r="G24" s="3"/>
      <c r="H24" s="7">
        <v>1001</v>
      </c>
      <c r="I24" s="3"/>
      <c r="J24" s="8">
        <f t="shared" si="1"/>
        <v>0</v>
      </c>
      <c r="K24" s="3"/>
      <c r="L24" s="7">
        <f t="shared" si="2"/>
        <v>-9.0000000000031832E-2</v>
      </c>
      <c r="M24" s="3"/>
      <c r="N24" s="8">
        <f t="shared" si="3"/>
        <v>-8.9910089910121704E-5</v>
      </c>
      <c r="O24" s="12"/>
      <c r="P24" s="7">
        <v>10009.1</v>
      </c>
      <c r="Q24" s="3"/>
      <c r="R24" s="8">
        <f t="shared" si="4"/>
        <v>0.41271507646430128</v>
      </c>
      <c r="S24" s="3"/>
      <c r="T24" s="7">
        <v>10010</v>
      </c>
      <c r="U24" s="3"/>
      <c r="V24" s="8">
        <f t="shared" si="5"/>
        <v>0</v>
      </c>
      <c r="W24" s="3"/>
      <c r="X24" s="7">
        <f t="shared" si="6"/>
        <v>-0.8999999999996362</v>
      </c>
      <c r="Y24" s="3"/>
      <c r="Z24" s="8">
        <f t="shared" si="7"/>
        <v>-8.9910089910053562E-5</v>
      </c>
    </row>
    <row r="25" spans="1:26" s="69" customFormat="1" ht="15" customHeight="1" outlineLevel="1" collapsed="1" x14ac:dyDescent="0.3">
      <c r="A25" s="25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SUM(OSRRefD22_2x_0)</f>
        <v>100</v>
      </c>
      <c r="E25" s="2"/>
      <c r="F25" s="6">
        <f t="shared" si="0"/>
        <v>1.3547547148850965E-2</v>
      </c>
      <c r="G25" s="2"/>
      <c r="H25" s="2">
        <f>SUM(OSRRefH22_2x_0)</f>
        <v>0</v>
      </c>
      <c r="I25" s="2"/>
      <c r="J25" s="6">
        <f t="shared" si="1"/>
        <v>0</v>
      </c>
      <c r="K25" s="2"/>
      <c r="L25" s="2">
        <f t="shared" si="2"/>
        <v>100</v>
      </c>
      <c r="M25" s="2"/>
      <c r="N25" s="6">
        <f t="shared" si="3"/>
        <v>0</v>
      </c>
      <c r="O25" s="14"/>
      <c r="P25" s="2">
        <f>SUM(OSRRefP22_2x_0)</f>
        <v>5055</v>
      </c>
      <c r="Q25" s="2"/>
      <c r="R25" s="6">
        <f t="shared" si="4"/>
        <v>0.20843779276129151</v>
      </c>
      <c r="S25" s="2"/>
      <c r="T25" s="2">
        <f>SUM(OSRRefT22_2x_0)</f>
        <v>0</v>
      </c>
      <c r="U25" s="2"/>
      <c r="V25" s="6">
        <f t="shared" si="5"/>
        <v>0</v>
      </c>
      <c r="W25" s="2"/>
      <c r="X25" s="2">
        <f t="shared" si="6"/>
        <v>5055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","6279"," - ","GENERAL EXPENSE")</f>
        <v xml:space="preserve">          6279 - GENERAL EXPENSE</v>
      </c>
      <c r="C26" s="12"/>
      <c r="D26" s="7">
        <v>100</v>
      </c>
      <c r="E26" s="3"/>
      <c r="F26" s="8">
        <f t="shared" si="0"/>
        <v>1.3547547148850965E-2</v>
      </c>
      <c r="G26" s="3"/>
      <c r="H26" s="7"/>
      <c r="I26" s="3"/>
      <c r="J26" s="8">
        <f t="shared" si="1"/>
        <v>0</v>
      </c>
      <c r="K26" s="3"/>
      <c r="L26" s="7">
        <f t="shared" si="2"/>
        <v>100</v>
      </c>
      <c r="M26" s="3"/>
      <c r="N26" s="8">
        <f t="shared" si="3"/>
        <v>0</v>
      </c>
      <c r="O26" s="12"/>
      <c r="P26" s="7">
        <v>5055</v>
      </c>
      <c r="Q26" s="3"/>
      <c r="R26" s="8">
        <f t="shared" si="4"/>
        <v>0.20843779276129151</v>
      </c>
      <c r="S26" s="3"/>
      <c r="T26" s="7"/>
      <c r="U26" s="3"/>
      <c r="V26" s="8">
        <f t="shared" si="5"/>
        <v>0</v>
      </c>
      <c r="W26" s="3"/>
      <c r="X26" s="7">
        <f t="shared" si="6"/>
        <v>5055</v>
      </c>
      <c r="Y26" s="3"/>
      <c r="Z26" s="8">
        <f t="shared" si="7"/>
        <v>0</v>
      </c>
    </row>
    <row r="27" spans="1:26" s="69" customFormat="1" ht="15" customHeight="1" outlineLevel="1" collapsed="1" x14ac:dyDescent="0.3">
      <c r="A27" s="25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2">
        <f>SUM(OSRRefD22_3x_0)</f>
        <v>1845.35</v>
      </c>
      <c r="E27" s="2"/>
      <c r="F27" s="6">
        <f t="shared" si="0"/>
        <v>0.24999966131132126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1845.35</v>
      </c>
      <c r="M27" s="2"/>
      <c r="N27" s="6">
        <f t="shared" si="3"/>
        <v>0</v>
      </c>
      <c r="O27" s="14"/>
      <c r="P27" s="2">
        <f>SUM(OSRRefP22_3x_0)</f>
        <v>6063.06</v>
      </c>
      <c r="Q27" s="2"/>
      <c r="R27" s="6">
        <f t="shared" si="4"/>
        <v>0.25000412339847206</v>
      </c>
      <c r="S27" s="2"/>
      <c r="T27" s="2">
        <f>SUM(OSRRefT22_3x_0)</f>
        <v>0</v>
      </c>
      <c r="U27" s="2"/>
      <c r="V27" s="6">
        <f t="shared" si="5"/>
        <v>0</v>
      </c>
      <c r="W27" s="2"/>
      <c r="X27" s="2">
        <f t="shared" si="6"/>
        <v>6063.06</v>
      </c>
      <c r="Y27" s="2"/>
      <c r="Z27" s="6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","6254"," - ","ROYALTY &amp; COMMISSIONS")</f>
        <v xml:space="preserve">          6254 - ROYALTY &amp; COMMISSIONS</v>
      </c>
      <c r="C28" s="12"/>
      <c r="D28" s="7">
        <v>1845.35</v>
      </c>
      <c r="E28" s="3"/>
      <c r="F28" s="8">
        <f t="shared" si="0"/>
        <v>0.24999966131132126</v>
      </c>
      <c r="G28" s="3"/>
      <c r="H28" s="7"/>
      <c r="I28" s="3"/>
      <c r="J28" s="8">
        <f t="shared" si="1"/>
        <v>0</v>
      </c>
      <c r="K28" s="3"/>
      <c r="L28" s="7">
        <f t="shared" si="2"/>
        <v>1845.35</v>
      </c>
      <c r="M28" s="3"/>
      <c r="N28" s="8">
        <f t="shared" si="3"/>
        <v>0</v>
      </c>
      <c r="O28" s="12"/>
      <c r="P28" s="7">
        <v>6063.06</v>
      </c>
      <c r="Q28" s="3"/>
      <c r="R28" s="8">
        <f t="shared" si="4"/>
        <v>0.25000412339847206</v>
      </c>
      <c r="S28" s="3"/>
      <c r="T28" s="7"/>
      <c r="U28" s="3"/>
      <c r="V28" s="8">
        <f t="shared" si="5"/>
        <v>0</v>
      </c>
      <c r="W28" s="3"/>
      <c r="X28" s="7">
        <f t="shared" si="6"/>
        <v>6063.06</v>
      </c>
      <c r="Y28" s="3"/>
      <c r="Z28" s="8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","Services                                          ")</f>
        <v xml:space="preserve">     Services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0</v>
      </c>
      <c r="U29" s="2"/>
      <c r="V29" s="6">
        <f t="shared" si="5"/>
        <v>0</v>
      </c>
      <c r="W29" s="2"/>
      <c r="X29" s="2">
        <f t="shared" si="6"/>
        <v>0</v>
      </c>
      <c r="Y29" s="2"/>
      <c r="Z29" s="6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","6284"," - ","TRASH REMOVAL EXPENSE")</f>
        <v xml:space="preserve">          6284 - TRASH REMOVAL EXPENSE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","Supplies                                          ")</f>
        <v xml:space="preserve">     Supplies              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116.26</v>
      </c>
      <c r="Q31" s="2"/>
      <c r="R31" s="6">
        <f t="shared" si="4"/>
        <v>4.7938630635861032E-3</v>
      </c>
      <c r="S31" s="2"/>
      <c r="T31" s="2">
        <f>SUM(OSRRefT22_5x_0)</f>
        <v>0</v>
      </c>
      <c r="U31" s="2"/>
      <c r="V31" s="6">
        <f t="shared" si="5"/>
        <v>0</v>
      </c>
      <c r="W31" s="2"/>
      <c r="X31" s="2">
        <f t="shared" si="6"/>
        <v>116.26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","6243"," - ","PAPER SUPPLIES")</f>
        <v xml:space="preserve">          6243 - PAPER SUPPLIES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116.26</v>
      </c>
      <c r="Q32" s="3"/>
      <c r="R32" s="8">
        <f t="shared" si="4"/>
        <v>4.7938630635861032E-3</v>
      </c>
      <c r="S32" s="3"/>
      <c r="T32" s="7"/>
      <c r="U32" s="3"/>
      <c r="V32" s="8">
        <f t="shared" si="5"/>
        <v>0</v>
      </c>
      <c r="W32" s="3"/>
      <c r="X32" s="7">
        <f t="shared" si="6"/>
        <v>116.26</v>
      </c>
      <c r="Y32" s="3"/>
      <c r="Z32" s="8">
        <f t="shared" si="7"/>
        <v>0</v>
      </c>
    </row>
    <row r="33" spans="1:26" s="65" customFormat="1" ht="15" customHeight="1" x14ac:dyDescent="0.3">
      <c r="A33" s="35"/>
      <c r="B33" s="35"/>
      <c r="C33" s="35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5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3" customFormat="1" ht="15" customHeight="1" x14ac:dyDescent="0.3">
      <c r="A34" s="11"/>
      <c r="B34" s="28" t="s">
        <v>291</v>
      </c>
      <c r="C34" s="11"/>
      <c r="D34" s="5">
        <f>SUM(0)</f>
        <v>0</v>
      </c>
      <c r="E34" s="5"/>
      <c r="F34" s="13">
        <f>IF(D$12=0,0,D34/D$12)</f>
        <v>0</v>
      </c>
      <c r="G34" s="5"/>
      <c r="H34" s="5">
        <f>SUM(0)</f>
        <v>0</v>
      </c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>
        <f>SUM(0)</f>
        <v>0</v>
      </c>
      <c r="Q34" s="5"/>
      <c r="R34" s="13">
        <f>IF(P$12=0,0,P34/P$12)</f>
        <v>0</v>
      </c>
      <c r="S34" s="5"/>
      <c r="T34" s="5">
        <f>SUM(0)</f>
        <v>0</v>
      </c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292</v>
      </c>
      <c r="C36" s="27"/>
      <c r="D36" s="21">
        <f>+D18-D20+D34</f>
        <v>1309.8399999999992</v>
      </c>
      <c r="E36" s="15"/>
      <c r="F36" s="23">
        <f>IF(D$12=0,0,D36/D$12)</f>
        <v>0.17745119157450936</v>
      </c>
      <c r="G36" s="15"/>
      <c r="H36" s="21">
        <f>+H18-H20+H34</f>
        <v>-1001</v>
      </c>
      <c r="I36" s="15"/>
      <c r="J36" s="23">
        <f>IF(H$12=0,0,H36/H$12)</f>
        <v>0</v>
      </c>
      <c r="K36" s="17"/>
      <c r="L36" s="21">
        <f>+D36-H36</f>
        <v>2310.8399999999992</v>
      </c>
      <c r="M36" s="17"/>
      <c r="N36" s="23">
        <f>IF(H36=0,0,L36/H36)</f>
        <v>-2.3085314685314677</v>
      </c>
      <c r="O36" s="28"/>
      <c r="P36" s="21">
        <f>+P18-P20+P34</f>
        <v>-7998.2199999999993</v>
      </c>
      <c r="Q36" s="15"/>
      <c r="R36" s="23">
        <f>IF(P$12=0,0,P36/P$12)</f>
        <v>-0.32979848126987477</v>
      </c>
      <c r="S36" s="15"/>
      <c r="T36" s="21">
        <f>+T18-T20+T34</f>
        <v>-10010</v>
      </c>
      <c r="U36" s="15"/>
      <c r="V36" s="23">
        <f>IF(T$12=0,0,T36/T$12)</f>
        <v>0</v>
      </c>
      <c r="W36" s="17"/>
      <c r="X36" s="21">
        <f>+P36-T36</f>
        <v>2011.7800000000007</v>
      </c>
      <c r="Y36" s="17"/>
      <c r="Z36" s="23">
        <f>IF(T36=0,0,X36/T36)</f>
        <v>-0.20097702297702305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49"/>
      <c r="B38" s="11" t="s">
        <v>293</v>
      </c>
      <c r="C38" s="11"/>
      <c r="D38" s="5">
        <v>733.9</v>
      </c>
      <c r="E38" s="5"/>
      <c r="F38" s="13">
        <f>IF(D$12=0,0,D38/D$12)</f>
        <v>9.9425448525417223E-2</v>
      </c>
      <c r="G38" s="5"/>
      <c r="H38" s="5"/>
      <c r="I38" s="5"/>
      <c r="J38" s="13">
        <f>IF(H$12=0,0,H38/H$12)</f>
        <v>0</v>
      </c>
      <c r="K38" s="5"/>
      <c r="L38" s="5">
        <f>+D38-H38</f>
        <v>733.9</v>
      </c>
      <c r="M38" s="5"/>
      <c r="N38" s="13">
        <f>IF(H38=0,0,L38/H38)</f>
        <v>0</v>
      </c>
      <c r="O38" s="11"/>
      <c r="P38" s="5">
        <v>2747.34</v>
      </c>
      <c r="Q38" s="5"/>
      <c r="R38" s="13">
        <f>IF(P$12=0,0,P38/P$12)</f>
        <v>0.11328377558156412</v>
      </c>
      <c r="S38" s="5"/>
      <c r="T38" s="5"/>
      <c r="U38" s="5"/>
      <c r="V38" s="13">
        <f>IF(T$12=0,0,T38/T$12)</f>
        <v>0</v>
      </c>
      <c r="W38" s="5"/>
      <c r="X38" s="5">
        <f>+P38-T38</f>
        <v>2747.34</v>
      </c>
      <c r="Y38" s="5"/>
      <c r="Z38" s="13">
        <f>IF(T38=0,0,X38/T38)</f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294</v>
      </c>
      <c r="C40" s="27"/>
      <c r="D40" s="29">
        <f>+D36-D38</f>
        <v>575.93999999999926</v>
      </c>
      <c r="E40" s="15"/>
      <c r="F40" s="30">
        <f>IF(D$12=0,0,D40/D$12)</f>
        <v>7.8025743049092142E-2</v>
      </c>
      <c r="G40" s="15"/>
      <c r="H40" s="29">
        <f>+H36-H38</f>
        <v>-1001</v>
      </c>
      <c r="I40" s="15"/>
      <c r="J40" s="30">
        <f>IF(H$12=0,0,H40/H$12)</f>
        <v>0</v>
      </c>
      <c r="K40" s="17"/>
      <c r="L40" s="29">
        <f>D40-H40</f>
        <v>1576.9399999999991</v>
      </c>
      <c r="M40" s="17"/>
      <c r="N40" s="30">
        <f>IF(H40=0,0,L40/H40)</f>
        <v>-1.5753646353646344</v>
      </c>
      <c r="O40" s="28"/>
      <c r="P40" s="29">
        <f>+P36-P38</f>
        <v>-10745.56</v>
      </c>
      <c r="Q40" s="15"/>
      <c r="R40" s="30">
        <f>IF(P$12=0,0,P40/P$12)</f>
        <v>-0.44308225685143887</v>
      </c>
      <c r="S40" s="15"/>
      <c r="T40" s="29">
        <f>+T36-T38</f>
        <v>-10010</v>
      </c>
      <c r="U40" s="15"/>
      <c r="V40" s="30">
        <f>IF(T$12=0,0,T40/T$12)</f>
        <v>0</v>
      </c>
      <c r="W40" s="17"/>
      <c r="X40" s="29">
        <f>P40-T40</f>
        <v>-735.55999999999949</v>
      </c>
      <c r="Y40" s="17"/>
      <c r="Z40" s="30">
        <f>IF(T40=0,0,X40/T40)</f>
        <v>7.3482517482517426E-2</v>
      </c>
    </row>
    <row r="41" spans="1:26" ht="15" customHeight="1" x14ac:dyDescent="0.3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s="63" customFormat="1" ht="15" customHeight="1" x14ac:dyDescent="0.3">
      <c r="A43" s="11"/>
      <c r="B43" s="27" t="s">
        <v>297</v>
      </c>
      <c r="C43" s="27"/>
      <c r="D43" s="32">
        <f>SUM(D40:D42)</f>
        <v>575.93999999999926</v>
      </c>
      <c r="E43" s="15"/>
      <c r="F43" s="34">
        <f>IF(D$12=0,0,D43/D$12)</f>
        <v>7.8025743049092142E-2</v>
      </c>
      <c r="G43" s="15"/>
      <c r="H43" s="32">
        <f>SUM(H40:H42)</f>
        <v>-1001</v>
      </c>
      <c r="I43" s="15"/>
      <c r="J43" s="34">
        <f>IF(H$12=0,0,H43/H$12)</f>
        <v>0</v>
      </c>
      <c r="K43" s="17"/>
      <c r="L43" s="32">
        <f>+D43-H43</f>
        <v>1576.9399999999991</v>
      </c>
      <c r="M43" s="17"/>
      <c r="N43" s="34">
        <f>IF(H43=0,0,L43/H43)</f>
        <v>-1.5753646353646344</v>
      </c>
      <c r="O43" s="28"/>
      <c r="P43" s="32">
        <f>SUM(P40:P42)</f>
        <v>-10745.56</v>
      </c>
      <c r="Q43" s="15"/>
      <c r="R43" s="34">
        <f>IF(P$12=0,0,P43/P$12)</f>
        <v>-0.44308225685143887</v>
      </c>
      <c r="S43" s="15"/>
      <c r="T43" s="32">
        <f>SUM(T40:T42)</f>
        <v>-10010</v>
      </c>
      <c r="U43" s="15"/>
      <c r="V43" s="34">
        <f>IF(T$12=0,0,T43/T$12)</f>
        <v>0</v>
      </c>
      <c r="W43" s="17"/>
      <c r="X43" s="32">
        <f>+P43-T43</f>
        <v>-735.55999999999949</v>
      </c>
      <c r="Y43" s="17"/>
      <c r="Z43" s="34">
        <f>IF(T43=0,0,X43/T43)</f>
        <v>7.3482517482517426E-2</v>
      </c>
    </row>
    <row r="44" spans="1:26" ht="15" customHeight="1" x14ac:dyDescent="0.3">
      <c r="A44" s="10"/>
      <c r="C44" s="10"/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  <row r="45" spans="1:26" ht="15" customHeight="1" x14ac:dyDescent="0.3">
      <c r="A45" s="10"/>
      <c r="B45" s="56">
        <v>44694.888552430559</v>
      </c>
      <c r="D45" s="19"/>
      <c r="E45" s="19"/>
      <c r="G45" s="19"/>
      <c r="H45" s="19"/>
      <c r="I45" s="19"/>
      <c r="J45" s="40"/>
      <c r="K45" s="19"/>
      <c r="L45" s="19"/>
      <c r="M45" s="19"/>
      <c r="P45" s="19"/>
      <c r="Q45" s="19"/>
      <c r="R45" s="40"/>
      <c r="S45" s="19"/>
      <c r="T45" s="19"/>
      <c r="U45" s="19"/>
      <c r="V45" s="40"/>
      <c r="W45" s="19"/>
      <c r="X45" s="19"/>
    </row>
    <row r="46" spans="1:26" ht="15" customHeight="1" x14ac:dyDescent="0.3">
      <c r="A46" s="10"/>
      <c r="B46" s="50" t="s">
        <v>298</v>
      </c>
      <c r="D46" s="19"/>
      <c r="E46" s="19"/>
      <c r="G46" s="19"/>
      <c r="H46" s="19"/>
      <c r="I46" s="19"/>
      <c r="J46" s="40"/>
      <c r="K46" s="19"/>
      <c r="L46" s="19"/>
      <c r="M46" s="19"/>
      <c r="P46" s="19"/>
      <c r="Q46" s="19"/>
      <c r="R46" s="40"/>
      <c r="S46" s="19"/>
      <c r="T46" s="19"/>
      <c r="U46" s="19"/>
      <c r="V46" s="40"/>
      <c r="W46" s="19"/>
      <c r="X46" s="19"/>
    </row>
    <row r="47" spans="1:26" ht="15" customHeight="1" x14ac:dyDescent="0.3">
      <c r="A47" s="10"/>
      <c r="B47" s="51"/>
      <c r="D47" s="19"/>
      <c r="E47" s="19"/>
      <c r="G47" s="19"/>
      <c r="H47" s="19"/>
      <c r="I47" s="19"/>
      <c r="J47" s="40"/>
      <c r="K47" s="19"/>
      <c r="L47" s="19"/>
      <c r="M47" s="19"/>
      <c r="P47" s="19"/>
      <c r="Q47" s="19"/>
      <c r="R47" s="40"/>
      <c r="S47" s="19"/>
      <c r="T47" s="19"/>
      <c r="U47" s="19"/>
      <c r="V47" s="40"/>
      <c r="W47" s="19"/>
      <c r="X47" s="19"/>
    </row>
    <row r="48" spans="1:26" ht="15" customHeight="1" x14ac:dyDescent="0.3">
      <c r="D48" s="19"/>
      <c r="E48" s="19"/>
      <c r="G48" s="19"/>
      <c r="H48" s="19"/>
      <c r="I48" s="19"/>
      <c r="J48" s="40"/>
      <c r="K48" s="19"/>
      <c r="L48" s="19"/>
      <c r="M48" s="19"/>
      <c r="P48" s="19"/>
      <c r="Q48" s="19"/>
      <c r="R48" s="40"/>
      <c r="S48" s="19"/>
      <c r="T48" s="19"/>
      <c r="U48" s="19"/>
      <c r="V48" s="40"/>
      <c r="W48" s="19"/>
      <c r="X4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44FDE-7EDA-1A66-0345-D55C495DC7A3}">
  <sheetPr>
    <tabColor rgb="FFFFFF0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313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1722827.5100000002</v>
      </c>
      <c r="E12" s="5"/>
      <c r="F12" s="13"/>
      <c r="G12" s="5"/>
      <c r="H12" s="5">
        <f>SUM(OSRRefH13x_0)</f>
        <v>1088640</v>
      </c>
      <c r="I12" s="5"/>
      <c r="J12" s="13"/>
      <c r="K12" s="5"/>
      <c r="L12" s="5">
        <f t="shared" ref="L12:L18" si="0">+D12-H12</f>
        <v>634187.51000000024</v>
      </c>
      <c r="M12" s="5"/>
      <c r="N12" s="13">
        <f t="shared" ref="N12:N18" si="1">IF(H12=0,0,L12/H12)</f>
        <v>0.58255025536449168</v>
      </c>
      <c r="O12" s="11"/>
      <c r="P12" s="5">
        <f>SUM(OSRRefP13x_0)</f>
        <v>10926047.400000002</v>
      </c>
      <c r="Q12" s="5"/>
      <c r="R12" s="13"/>
      <c r="S12" s="5"/>
      <c r="T12" s="5">
        <f>SUM(OSRRefT13x_0)</f>
        <v>8265600</v>
      </c>
      <c r="U12" s="5"/>
      <c r="V12" s="13"/>
      <c r="W12" s="5"/>
      <c r="X12" s="5">
        <f t="shared" ref="X12:X18" si="2">+P12-T12</f>
        <v>2660447.4000000022</v>
      </c>
      <c r="Y12" s="5"/>
      <c r="Z12" s="13">
        <f t="shared" ref="Z12:Z18" si="3">IF(T12=0,0,X12/T12)</f>
        <v>0.32186984610917563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--702.65</f>
        <v>702.65</v>
      </c>
      <c r="E13" s="3"/>
      <c r="F13" s="20"/>
      <c r="G13" s="3"/>
      <c r="H13" s="3"/>
      <c r="I13" s="3"/>
      <c r="J13" s="20"/>
      <c r="K13" s="3"/>
      <c r="L13" s="3">
        <f t="shared" si="0"/>
        <v>702.65</v>
      </c>
      <c r="M13" s="3"/>
      <c r="N13" s="20">
        <f t="shared" si="1"/>
        <v>0</v>
      </c>
      <c r="O13" s="12"/>
      <c r="P13" s="3">
        <f>--4321.11</f>
        <v>4321.1099999999997</v>
      </c>
      <c r="Q13" s="3"/>
      <c r="R13" s="20"/>
      <c r="S13" s="3"/>
      <c r="T13" s="3"/>
      <c r="U13" s="3"/>
      <c r="V13" s="20"/>
      <c r="W13" s="3"/>
      <c r="X13" s="3">
        <f t="shared" si="2"/>
        <v>4321.1099999999997</v>
      </c>
      <c r="Y13" s="3"/>
      <c r="Z13" s="20">
        <f t="shared" si="3"/>
        <v>0</v>
      </c>
    </row>
    <row r="14" spans="1:26" s="70" customFormat="1" ht="15" hidden="1" customHeight="1" outlineLevel="1" x14ac:dyDescent="0.3">
      <c r="A14" s="42"/>
      <c r="B14" s="12" t="str">
        <f>CONCATENATE("          ","4055"," - ","TAXABLE SALES-FOOD")</f>
        <v xml:space="preserve">          4055 - TAXABLE SALES-FOOD</v>
      </c>
      <c r="C14" s="12"/>
      <c r="D14" s="3">
        <f>--1014.83</f>
        <v>1014.83</v>
      </c>
      <c r="E14" s="3"/>
      <c r="F14" s="20"/>
      <c r="G14" s="3"/>
      <c r="H14" s="3"/>
      <c r="I14" s="3"/>
      <c r="J14" s="20"/>
      <c r="K14" s="3"/>
      <c r="L14" s="3">
        <f t="shared" si="0"/>
        <v>1014.83</v>
      </c>
      <c r="M14" s="3"/>
      <c r="N14" s="20">
        <f t="shared" si="1"/>
        <v>0</v>
      </c>
      <c r="O14" s="12"/>
      <c r="P14" s="3">
        <f>--1556.1</f>
        <v>1556.1</v>
      </c>
      <c r="Q14" s="3"/>
      <c r="R14" s="20"/>
      <c r="S14" s="3"/>
      <c r="T14" s="3"/>
      <c r="U14" s="3"/>
      <c r="V14" s="20"/>
      <c r="W14" s="3"/>
      <c r="X14" s="3">
        <f t="shared" si="2"/>
        <v>1556.1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1088640</v>
      </c>
      <c r="I15" s="3"/>
      <c r="J15" s="20"/>
      <c r="K15" s="3"/>
      <c r="L15" s="3">
        <f t="shared" si="0"/>
        <v>-1088640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v>8265600</v>
      </c>
      <c r="U15" s="3"/>
      <c r="V15" s="20"/>
      <c r="W15" s="3"/>
      <c r="X15" s="3">
        <f t="shared" si="2"/>
        <v>-8265600</v>
      </c>
      <c r="Y15" s="3"/>
      <c r="Z15" s="20">
        <f t="shared" si="3"/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--1703509.07</f>
        <v>1703509.07</v>
      </c>
      <c r="E16" s="3"/>
      <c r="F16" s="20"/>
      <c r="G16" s="3"/>
      <c r="H16" s="3"/>
      <c r="I16" s="3"/>
      <c r="J16" s="20"/>
      <c r="K16" s="3"/>
      <c r="L16" s="3">
        <f t="shared" si="0"/>
        <v>1703509.07</v>
      </c>
      <c r="M16" s="3"/>
      <c r="N16" s="20">
        <f t="shared" si="1"/>
        <v>0</v>
      </c>
      <c r="O16" s="12"/>
      <c r="P16" s="3">
        <f>--10804324.3</f>
        <v>10804324.300000001</v>
      </c>
      <c r="Q16" s="3"/>
      <c r="R16" s="20"/>
      <c r="S16" s="3"/>
      <c r="T16" s="3"/>
      <c r="U16" s="3"/>
      <c r="V16" s="20"/>
      <c r="W16" s="3"/>
      <c r="X16" s="3">
        <f t="shared" si="2"/>
        <v>10804324.300000001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","4153"," - ","NON-TAXABLE SALES-FOOD")</f>
        <v xml:space="preserve">          4153 - NON-TAXABLE SALES-FOOD</v>
      </c>
      <c r="C17" s="12"/>
      <c r="D17" s="3">
        <f>--15546.35</f>
        <v>15546.35</v>
      </c>
      <c r="E17" s="3"/>
      <c r="F17" s="20"/>
      <c r="G17" s="3"/>
      <c r="H17" s="3"/>
      <c r="I17" s="3"/>
      <c r="J17" s="20"/>
      <c r="K17" s="3"/>
      <c r="L17" s="3">
        <f t="shared" si="0"/>
        <v>15546.35</v>
      </c>
      <c r="M17" s="3"/>
      <c r="N17" s="20">
        <f t="shared" si="1"/>
        <v>0</v>
      </c>
      <c r="O17" s="12"/>
      <c r="P17" s="3">
        <f>--112046.57</f>
        <v>112046.57</v>
      </c>
      <c r="Q17" s="3"/>
      <c r="R17" s="20"/>
      <c r="S17" s="3"/>
      <c r="T17" s="3"/>
      <c r="U17" s="3"/>
      <c r="V17" s="20"/>
      <c r="W17" s="3"/>
      <c r="X17" s="3">
        <f t="shared" si="2"/>
        <v>112046.57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","4155"," - ","NON-TAXABLE SALES-FOOD")</f>
        <v xml:space="preserve">          4155 - NON-TAXABLE SALES-FOOD</v>
      </c>
      <c r="C18" s="12"/>
      <c r="D18" s="3">
        <f>--2054.61</f>
        <v>2054.61</v>
      </c>
      <c r="E18" s="3"/>
      <c r="F18" s="20"/>
      <c r="G18" s="3"/>
      <c r="H18" s="3"/>
      <c r="I18" s="3"/>
      <c r="J18" s="20"/>
      <c r="K18" s="3"/>
      <c r="L18" s="3">
        <f t="shared" si="0"/>
        <v>2054.61</v>
      </c>
      <c r="M18" s="3"/>
      <c r="N18" s="20">
        <f t="shared" si="1"/>
        <v>0</v>
      </c>
      <c r="O18" s="12"/>
      <c r="P18" s="3">
        <f>--3799.32</f>
        <v>3799.32</v>
      </c>
      <c r="Q18" s="3"/>
      <c r="R18" s="20"/>
      <c r="S18" s="3"/>
      <c r="T18" s="3"/>
      <c r="U18" s="3"/>
      <c r="V18" s="20"/>
      <c r="W18" s="3"/>
      <c r="X18" s="3">
        <f t="shared" si="2"/>
        <v>3799.32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8" t="s">
        <v>288</v>
      </c>
      <c r="C20" s="11"/>
      <c r="D20" s="5">
        <f>SUM(OSRRefD16x_0)</f>
        <v>348272.43</v>
      </c>
      <c r="E20" s="5"/>
      <c r="F20" s="13">
        <f>IF(D$12=0,0,D20/D$12)</f>
        <v>0.20215165359183285</v>
      </c>
      <c r="G20" s="5"/>
      <c r="H20" s="5">
        <f>SUM(OSRRefH16x_0)</f>
        <v>291406</v>
      </c>
      <c r="I20" s="5"/>
      <c r="J20" s="13">
        <f>IF(H$12=0,0,H20/H$12)</f>
        <v>0.2676789388594944</v>
      </c>
      <c r="K20" s="5"/>
      <c r="L20" s="5">
        <f>+D20-H20</f>
        <v>56866.429999999993</v>
      </c>
      <c r="M20" s="5"/>
      <c r="N20" s="13">
        <f>IF(H20=0,0,L20/H20)</f>
        <v>0.19514502103594294</v>
      </c>
      <c r="O20" s="11"/>
      <c r="P20" s="5">
        <f>SUM(OSRRefP16x_0)</f>
        <v>2586663.36</v>
      </c>
      <c r="Q20" s="5"/>
      <c r="R20" s="13">
        <f>IF(P$12=0,0,P20/P$12)</f>
        <v>0.23674282796906038</v>
      </c>
      <c r="S20" s="5"/>
      <c r="T20" s="5">
        <f>SUM(OSRRefT16x_0)</f>
        <v>2291287</v>
      </c>
      <c r="U20" s="5"/>
      <c r="V20" s="13">
        <f>IF(T$12=0,0,T20/T$12)</f>
        <v>0.27720758323654665</v>
      </c>
      <c r="W20" s="5"/>
      <c r="X20" s="5">
        <f>+P20-T20</f>
        <v>295376.35999999987</v>
      </c>
      <c r="Y20" s="5"/>
      <c r="Z20" s="13">
        <f>IF(T20=0,0,X20/T20)</f>
        <v>0.12891285989053308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/>
      <c r="E21" s="3"/>
      <c r="F21" s="20">
        <f>IF(D$12=0,0,D21/D$12)</f>
        <v>0</v>
      </c>
      <c r="G21" s="3"/>
      <c r="H21" s="3">
        <v>291406</v>
      </c>
      <c r="I21" s="3"/>
      <c r="J21" s="20">
        <f>IF(H$12=0,0,H21/H$12)</f>
        <v>0.2676789388594944</v>
      </c>
      <c r="K21" s="3"/>
      <c r="L21" s="3">
        <f>+D21-H21</f>
        <v>-291406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2291287</v>
      </c>
      <c r="U21" s="3"/>
      <c r="V21" s="20">
        <f>IF(T$12=0,0,T21/T$12)</f>
        <v>0.27720758323654665</v>
      </c>
      <c r="W21" s="3"/>
      <c r="X21" s="3">
        <f>+P21-T21</f>
        <v>-2291287</v>
      </c>
      <c r="Y21" s="3"/>
      <c r="Z21" s="20">
        <f>IF(T21=0,0,X21/T21)</f>
        <v>-1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346701.43</v>
      </c>
      <c r="E22" s="3"/>
      <c r="F22" s="20">
        <f>IF(D$12=0,0,D22/D$12)</f>
        <v>0.20123978052799954</v>
      </c>
      <c r="G22" s="3"/>
      <c r="H22" s="3"/>
      <c r="I22" s="3"/>
      <c r="J22" s="20">
        <f>IF(H$12=0,0,H22/H$12)</f>
        <v>0</v>
      </c>
      <c r="K22" s="3"/>
      <c r="L22" s="3">
        <f>+D22-H22</f>
        <v>346701.43</v>
      </c>
      <c r="M22" s="3"/>
      <c r="N22" s="20">
        <f>IF(H22=0,0,L22/H22)</f>
        <v>0</v>
      </c>
      <c r="O22" s="12"/>
      <c r="P22" s="3">
        <v>2626850.42</v>
      </c>
      <c r="Q22" s="3"/>
      <c r="R22" s="20">
        <f>IF(P$12=0,0,P22/P$12)</f>
        <v>0.24042092477102006</v>
      </c>
      <c r="S22" s="3"/>
      <c r="T22" s="3"/>
      <c r="U22" s="3"/>
      <c r="V22" s="20">
        <f>IF(T$12=0,0,T22/T$12)</f>
        <v>0</v>
      </c>
      <c r="W22" s="3"/>
      <c r="X22" s="3">
        <f>+P22-T22</f>
        <v>2626850.42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1571</v>
      </c>
      <c r="E23" s="3"/>
      <c r="F23" s="20">
        <f>IF(D$12=0,0,D23/D$12)</f>
        <v>9.1187306383330258E-4</v>
      </c>
      <c r="G23" s="3"/>
      <c r="H23" s="3"/>
      <c r="I23" s="3"/>
      <c r="J23" s="20">
        <f>IF(H$12=0,0,H23/H$12)</f>
        <v>0</v>
      </c>
      <c r="K23" s="3"/>
      <c r="L23" s="3">
        <f>+D23-H23</f>
        <v>1571</v>
      </c>
      <c r="M23" s="3"/>
      <c r="N23" s="20">
        <f>IF(H23=0,0,L23/H23)</f>
        <v>0</v>
      </c>
      <c r="O23" s="12"/>
      <c r="P23" s="3">
        <v>-40187.06</v>
      </c>
      <c r="Q23" s="3"/>
      <c r="R23" s="20">
        <f>IF(P$12=0,0,P23/P$12)</f>
        <v>-3.6780968019596901E-3</v>
      </c>
      <c r="S23" s="3"/>
      <c r="T23" s="3"/>
      <c r="U23" s="3"/>
      <c r="V23" s="20">
        <f>IF(T$12=0,0,T23/T$12)</f>
        <v>0</v>
      </c>
      <c r="W23" s="3"/>
      <c r="X23" s="3">
        <f>+P23-T23</f>
        <v>-40187.06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289</v>
      </c>
      <c r="C25" s="27"/>
      <c r="D25" s="21">
        <f>D12-D20</f>
        <v>1374555.0800000003</v>
      </c>
      <c r="E25" s="15"/>
      <c r="F25" s="23">
        <f>IF(D$12=0,0,D25/D$12)</f>
        <v>0.79784834640816715</v>
      </c>
      <c r="G25" s="15"/>
      <c r="H25" s="21">
        <f>H12-H20</f>
        <v>797234</v>
      </c>
      <c r="I25" s="15"/>
      <c r="J25" s="23">
        <f>IF(H$12=0,0,H25/H$12)</f>
        <v>0.73232106114050555</v>
      </c>
      <c r="K25" s="17"/>
      <c r="L25" s="21">
        <f>+D25-H25</f>
        <v>577321.08000000031</v>
      </c>
      <c r="M25" s="17"/>
      <c r="N25" s="23">
        <f>IF(H25=0,0,L25/H25)</f>
        <v>0.72415511631465834</v>
      </c>
      <c r="O25" s="28"/>
      <c r="P25" s="21">
        <f>P12-P20</f>
        <v>8339384.0400000028</v>
      </c>
      <c r="Q25" s="15"/>
      <c r="R25" s="23">
        <f>IF(P$12=0,0,P25/P$12)</f>
        <v>0.76325717203093968</v>
      </c>
      <c r="S25" s="15"/>
      <c r="T25" s="21">
        <f>T12-T20</f>
        <v>5974313</v>
      </c>
      <c r="U25" s="15"/>
      <c r="V25" s="23">
        <f>IF(T$12=0,0,T25/T$12)</f>
        <v>0.72279241676345329</v>
      </c>
      <c r="W25" s="17"/>
      <c r="X25" s="21">
        <f>+P25-T25</f>
        <v>2365071.0400000028</v>
      </c>
      <c r="Y25" s="17"/>
      <c r="Z25" s="23">
        <f>IF(T25=0,0,X25/T25)</f>
        <v>0.39587330626969208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8" t="s">
        <v>290</v>
      </c>
      <c r="C27" s="11"/>
      <c r="D27" s="22" cm="1">
        <f t="array" ref="D27">SUM(OSRRefD22x_0)</f>
        <v>618959.43000000017</v>
      </c>
      <c r="E27" s="22"/>
      <c r="F27" s="33">
        <f t="shared" ref="F27:F58" si="4">IF(D$12=0,0,D27/D$12)</f>
        <v>0.35926953012260648</v>
      </c>
      <c r="G27" s="22"/>
      <c r="H27" s="22" cm="1">
        <f t="array" ref="H27">SUM(OSRRefH22x_0)</f>
        <v>616510.01829658262</v>
      </c>
      <c r="I27" s="22"/>
      <c r="J27" s="33">
        <f t="shared" ref="J27:J58" si="5">IF(H$12=0,0,H27/H$12)</f>
        <v>0.56631211263281034</v>
      </c>
      <c r="K27" s="5"/>
      <c r="L27" s="22">
        <f t="shared" ref="L27:L58" si="6">+D27-H27</f>
        <v>2449.4117034175433</v>
      </c>
      <c r="M27" s="5"/>
      <c r="N27" s="33">
        <f t="shared" ref="N27:N58" si="7">IF(H27=0,0,L27/H27)</f>
        <v>3.9730282245619766E-3</v>
      </c>
      <c r="O27" s="11"/>
      <c r="P27" s="22" cm="1">
        <f t="array" ref="P27">SUM(OSRRefP22x_0)</f>
        <v>4760389.3999999994</v>
      </c>
      <c r="Q27" s="22"/>
      <c r="R27" s="33">
        <f t="shared" ref="R27:R58" si="8">IF(P$12=0,0,P27/P$12)</f>
        <v>0.43569181294234532</v>
      </c>
      <c r="S27" s="22"/>
      <c r="T27" s="22" cm="1">
        <f t="array" ref="T27">SUM(OSRRefT22x_0)</f>
        <v>5233552.4636806268</v>
      </c>
      <c r="U27" s="22"/>
      <c r="V27" s="33">
        <f t="shared" ref="V27:V58" si="9">IF(T$12=0,0,T27/T$12)</f>
        <v>0.63317272353859688</v>
      </c>
      <c r="W27" s="5"/>
      <c r="X27" s="22">
        <f t="shared" ref="X27:X58" si="10">+P27-T27</f>
        <v>-473163.06368062738</v>
      </c>
      <c r="Y27" s="5"/>
      <c r="Z27" s="33">
        <f t="shared" ref="Z27:Z58" si="11">IF(T27=0,0,X27/T27)</f>
        <v>-9.0409538638285394E-2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98184.59</v>
      </c>
      <c r="E28" s="2"/>
      <c r="F28" s="6">
        <f t="shared" si="4"/>
        <v>5.699037740580308E-2</v>
      </c>
      <c r="G28" s="2"/>
      <c r="H28" s="2">
        <f>SUM(OSRRefH22_0x_0)</f>
        <v>128675.56310427502</v>
      </c>
      <c r="I28" s="2"/>
      <c r="J28" s="6">
        <f t="shared" si="5"/>
        <v>0.11819845229302159</v>
      </c>
      <c r="K28" s="2"/>
      <c r="L28" s="2">
        <f t="shared" si="6"/>
        <v>-30490.973104275021</v>
      </c>
      <c r="M28" s="2"/>
      <c r="N28" s="6">
        <f t="shared" si="7"/>
        <v>-0.23696009070165097</v>
      </c>
      <c r="O28" s="14"/>
      <c r="P28" s="2">
        <f>SUM(OSRRefP22_0x_0)</f>
        <v>871947.44000000006</v>
      </c>
      <c r="Q28" s="2"/>
      <c r="R28" s="6">
        <f t="shared" si="8"/>
        <v>7.9804471651843636E-2</v>
      </c>
      <c r="S28" s="2"/>
      <c r="T28" s="2">
        <f>SUM(OSRRefT22_0x_0)</f>
        <v>1143067.9396883193</v>
      </c>
      <c r="U28" s="2"/>
      <c r="V28" s="6">
        <f t="shared" si="9"/>
        <v>0.13829219169670917</v>
      </c>
      <c r="W28" s="2"/>
      <c r="X28" s="2">
        <f t="shared" si="10"/>
        <v>-271120.49968831928</v>
      </c>
      <c r="Y28" s="2"/>
      <c r="Z28" s="6">
        <f t="shared" si="11"/>
        <v>-0.23718668880018259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7">
        <v>17074.03</v>
      </c>
      <c r="E29" s="3"/>
      <c r="F29" s="8">
        <f t="shared" si="4"/>
        <v>9.9104697950870291E-3</v>
      </c>
      <c r="G29" s="3"/>
      <c r="H29" s="7">
        <v>14536.486302351899</v>
      </c>
      <c r="I29" s="3"/>
      <c r="J29" s="8">
        <f t="shared" si="5"/>
        <v>1.3352886447633652E-2</v>
      </c>
      <c r="K29" s="3"/>
      <c r="L29" s="7">
        <f t="shared" si="6"/>
        <v>2537.5436976480996</v>
      </c>
      <c r="M29" s="3"/>
      <c r="N29" s="8">
        <f t="shared" si="7"/>
        <v>0.17456375941671293</v>
      </c>
      <c r="O29" s="12"/>
      <c r="P29" s="7">
        <v>123911.82</v>
      </c>
      <c r="Q29" s="3"/>
      <c r="R29" s="8">
        <f t="shared" si="8"/>
        <v>1.134095574214697E-2</v>
      </c>
      <c r="S29" s="3"/>
      <c r="T29" s="7">
        <v>129214.680591397</v>
      </c>
      <c r="U29" s="3"/>
      <c r="V29" s="8">
        <f t="shared" si="9"/>
        <v>1.5632825274801223E-2</v>
      </c>
      <c r="W29" s="3"/>
      <c r="X29" s="7">
        <f t="shared" si="10"/>
        <v>-5302.860591396995</v>
      </c>
      <c r="Y29" s="3"/>
      <c r="Z29" s="8">
        <f t="shared" si="11"/>
        <v>-4.103914947687496E-2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7">
        <v>8148.04</v>
      </c>
      <c r="E30" s="3"/>
      <c r="F30" s="8">
        <f t="shared" si="4"/>
        <v>4.7294577969677291E-3</v>
      </c>
      <c r="G30" s="3"/>
      <c r="H30" s="7">
        <v>12811.3044278654</v>
      </c>
      <c r="I30" s="3"/>
      <c r="J30" s="8">
        <f t="shared" si="5"/>
        <v>1.1768173526478357E-2</v>
      </c>
      <c r="K30" s="3"/>
      <c r="L30" s="7">
        <f t="shared" si="6"/>
        <v>-4663.2644278653997</v>
      </c>
      <c r="M30" s="3"/>
      <c r="N30" s="8">
        <f t="shared" si="7"/>
        <v>-0.36399606723281852</v>
      </c>
      <c r="O30" s="12"/>
      <c r="P30" s="7">
        <v>77305.25</v>
      </c>
      <c r="Q30" s="3"/>
      <c r="R30" s="8">
        <f t="shared" si="8"/>
        <v>7.0753170995761913E-3</v>
      </c>
      <c r="S30" s="3"/>
      <c r="T30" s="7">
        <v>106180.69181221499</v>
      </c>
      <c r="U30" s="3"/>
      <c r="V30" s="8">
        <f t="shared" si="9"/>
        <v>1.2846096086456519E-2</v>
      </c>
      <c r="W30" s="3"/>
      <c r="X30" s="7">
        <f t="shared" si="10"/>
        <v>-28875.441812214995</v>
      </c>
      <c r="Y30" s="3"/>
      <c r="Z30" s="8">
        <f t="shared" si="11"/>
        <v>-0.27194625801913613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7">
        <v>41541.21</v>
      </c>
      <c r="E31" s="3"/>
      <c r="F31" s="8">
        <f t="shared" si="4"/>
        <v>2.4112228159161444E-2</v>
      </c>
      <c r="G31" s="3"/>
      <c r="H31" s="7">
        <v>73881.615384615405</v>
      </c>
      <c r="I31" s="3"/>
      <c r="J31" s="8">
        <f t="shared" si="5"/>
        <v>6.7865975331253131E-2</v>
      </c>
      <c r="K31" s="3"/>
      <c r="L31" s="7">
        <f t="shared" si="6"/>
        <v>-32340.405384615406</v>
      </c>
      <c r="M31" s="3"/>
      <c r="N31" s="8">
        <f t="shared" si="7"/>
        <v>-0.43773278665141024</v>
      </c>
      <c r="O31" s="12"/>
      <c r="P31" s="7">
        <v>426527.22</v>
      </c>
      <c r="Q31" s="3"/>
      <c r="R31" s="8">
        <f t="shared" si="8"/>
        <v>3.9037650523097663E-2</v>
      </c>
      <c r="S31" s="3"/>
      <c r="T31" s="7">
        <v>666846.61538461503</v>
      </c>
      <c r="U31" s="3"/>
      <c r="V31" s="8">
        <f t="shared" si="9"/>
        <v>8.0677339259656283E-2</v>
      </c>
      <c r="W31" s="3"/>
      <c r="X31" s="7">
        <f t="shared" si="10"/>
        <v>-240319.39538461505</v>
      </c>
      <c r="Y31" s="3"/>
      <c r="Z31" s="8">
        <f t="shared" si="11"/>
        <v>-0.36038181770781996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7">
        <v>588.44000000000005</v>
      </c>
      <c r="E32" s="3"/>
      <c r="F32" s="8">
        <f t="shared" si="4"/>
        <v>3.4155479674224612E-4</v>
      </c>
      <c r="G32" s="3"/>
      <c r="H32" s="7">
        <v>709.86119521153898</v>
      </c>
      <c r="I32" s="3"/>
      <c r="J32" s="8">
        <f t="shared" si="5"/>
        <v>6.5206238537215153E-4</v>
      </c>
      <c r="K32" s="3"/>
      <c r="L32" s="7">
        <f t="shared" si="6"/>
        <v>-121.42119521153893</v>
      </c>
      <c r="M32" s="3"/>
      <c r="N32" s="8">
        <f t="shared" si="7"/>
        <v>-0.17104920797277184</v>
      </c>
      <c r="O32" s="12"/>
      <c r="P32" s="7">
        <v>5583.12</v>
      </c>
      <c r="Q32" s="3"/>
      <c r="R32" s="8">
        <f t="shared" si="8"/>
        <v>5.1099174253994167E-4</v>
      </c>
      <c r="S32" s="3"/>
      <c r="T32" s="7">
        <v>5883.3628708615397</v>
      </c>
      <c r="U32" s="3"/>
      <c r="V32" s="8">
        <f t="shared" si="9"/>
        <v>7.11788965212633E-4</v>
      </c>
      <c r="W32" s="3"/>
      <c r="X32" s="7">
        <f t="shared" si="10"/>
        <v>-300.24287086153981</v>
      </c>
      <c r="Y32" s="3"/>
      <c r="Z32" s="8">
        <f t="shared" si="11"/>
        <v>-5.1032526371703003E-2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7">
        <v>5381.54</v>
      </c>
      <c r="E33" s="3"/>
      <c r="F33" s="8">
        <f t="shared" si="4"/>
        <v>3.1236673252332727E-3</v>
      </c>
      <c r="G33" s="3"/>
      <c r="H33" s="7">
        <v>4818.8604096153904</v>
      </c>
      <c r="I33" s="3"/>
      <c r="J33" s="8">
        <f t="shared" si="5"/>
        <v>4.4264958201199571E-3</v>
      </c>
      <c r="K33" s="3"/>
      <c r="L33" s="7">
        <f t="shared" si="6"/>
        <v>562.67959038460958</v>
      </c>
      <c r="M33" s="3"/>
      <c r="N33" s="8">
        <f t="shared" si="7"/>
        <v>0.11676611118717152</v>
      </c>
      <c r="O33" s="12"/>
      <c r="P33" s="7">
        <v>42874.42</v>
      </c>
      <c r="Q33" s="3"/>
      <c r="R33" s="8">
        <f t="shared" si="8"/>
        <v>3.9240558301074178E-3</v>
      </c>
      <c r="S33" s="3"/>
      <c r="T33" s="7">
        <v>42255.745944615403</v>
      </c>
      <c r="U33" s="3"/>
      <c r="V33" s="8">
        <f t="shared" si="9"/>
        <v>5.1122418148247441E-3</v>
      </c>
      <c r="W33" s="3"/>
      <c r="X33" s="7">
        <f t="shared" si="10"/>
        <v>618.6740553845957</v>
      </c>
      <c r="Y33" s="3"/>
      <c r="Z33" s="8">
        <f t="shared" si="11"/>
        <v>1.4641181726989074E-2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7"/>
      <c r="E34" s="3"/>
      <c r="F34" s="8">
        <f t="shared" si="4"/>
        <v>0</v>
      </c>
      <c r="G34" s="3"/>
      <c r="H34" s="7">
        <v>0</v>
      </c>
      <c r="I34" s="3"/>
      <c r="J34" s="8">
        <f t="shared" si="5"/>
        <v>0</v>
      </c>
      <c r="K34" s="3"/>
      <c r="L34" s="7">
        <f t="shared" si="6"/>
        <v>0</v>
      </c>
      <c r="M34" s="3"/>
      <c r="N34" s="8">
        <f t="shared" si="7"/>
        <v>0</v>
      </c>
      <c r="O34" s="12"/>
      <c r="P34" s="7"/>
      <c r="Q34" s="3"/>
      <c r="R34" s="8">
        <f t="shared" si="8"/>
        <v>0</v>
      </c>
      <c r="S34" s="3"/>
      <c r="T34" s="7">
        <v>0</v>
      </c>
      <c r="U34" s="3"/>
      <c r="V34" s="8">
        <f t="shared" si="9"/>
        <v>0</v>
      </c>
      <c r="W34" s="3"/>
      <c r="X34" s="7">
        <f t="shared" si="10"/>
        <v>0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7">
        <v>1458.82</v>
      </c>
      <c r="E35" s="3"/>
      <c r="F35" s="8">
        <f t="shared" si="4"/>
        <v>8.4675917439929881E-4</v>
      </c>
      <c r="G35" s="3"/>
      <c r="H35" s="7"/>
      <c r="I35" s="3"/>
      <c r="J35" s="8">
        <f t="shared" si="5"/>
        <v>0</v>
      </c>
      <c r="K35" s="3"/>
      <c r="L35" s="7">
        <f t="shared" si="6"/>
        <v>1458.82</v>
      </c>
      <c r="M35" s="3"/>
      <c r="N35" s="8">
        <f t="shared" si="7"/>
        <v>0</v>
      </c>
      <c r="O35" s="12"/>
      <c r="P35" s="7">
        <v>16882.009999999998</v>
      </c>
      <c r="Q35" s="3"/>
      <c r="R35" s="8">
        <f t="shared" si="8"/>
        <v>1.5451159400974221E-3</v>
      </c>
      <c r="S35" s="3"/>
      <c r="T35" s="7"/>
      <c r="U35" s="3"/>
      <c r="V35" s="8">
        <f t="shared" si="9"/>
        <v>0</v>
      </c>
      <c r="W35" s="3"/>
      <c r="X35" s="7">
        <f t="shared" si="10"/>
        <v>16882.009999999998</v>
      </c>
      <c r="Y35" s="3"/>
      <c r="Z35" s="8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7">
        <v>10901.12</v>
      </c>
      <c r="E36" s="3"/>
      <c r="F36" s="8">
        <f t="shared" si="4"/>
        <v>6.3274587483224017E-3</v>
      </c>
      <c r="G36" s="3"/>
      <c r="H36" s="7">
        <v>7101.5818173076896</v>
      </c>
      <c r="I36" s="3"/>
      <c r="J36" s="8">
        <f t="shared" si="5"/>
        <v>6.5233519044933953E-3</v>
      </c>
      <c r="K36" s="3"/>
      <c r="L36" s="7">
        <f t="shared" si="6"/>
        <v>3799.5381826923112</v>
      </c>
      <c r="M36" s="3"/>
      <c r="N36" s="8">
        <f t="shared" si="7"/>
        <v>0.53502702361778465</v>
      </c>
      <c r="O36" s="12"/>
      <c r="P36" s="7">
        <v>81416.13</v>
      </c>
      <c r="Q36" s="3"/>
      <c r="R36" s="8">
        <f t="shared" si="8"/>
        <v>7.4515629503858812E-3</v>
      </c>
      <c r="S36" s="3"/>
      <c r="T36" s="7">
        <v>62441.515692307701</v>
      </c>
      <c r="U36" s="3"/>
      <c r="V36" s="8">
        <f t="shared" si="9"/>
        <v>7.5543839155424531E-3</v>
      </c>
      <c r="W36" s="3"/>
      <c r="X36" s="7">
        <f t="shared" si="10"/>
        <v>18974.614307692304</v>
      </c>
      <c r="Y36" s="3"/>
      <c r="Z36" s="8">
        <f t="shared" si="11"/>
        <v>0.30387818260519622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7">
        <v>8798.7000000000007</v>
      </c>
      <c r="E37" s="3"/>
      <c r="F37" s="8">
        <f t="shared" si="4"/>
        <v>5.1071276427435263E-3</v>
      </c>
      <c r="G37" s="3"/>
      <c r="H37" s="7">
        <v>10615.8535673077</v>
      </c>
      <c r="I37" s="3"/>
      <c r="J37" s="8">
        <f t="shared" si="5"/>
        <v>9.7514821863129222E-3</v>
      </c>
      <c r="K37" s="3"/>
      <c r="L37" s="7">
        <f t="shared" si="6"/>
        <v>-1817.1535673076996</v>
      </c>
      <c r="M37" s="3"/>
      <c r="N37" s="8">
        <f t="shared" si="7"/>
        <v>-0.17117357128057581</v>
      </c>
      <c r="O37" s="12"/>
      <c r="P37" s="7">
        <v>63309.32</v>
      </c>
      <c r="Q37" s="3"/>
      <c r="R37" s="8">
        <f t="shared" si="8"/>
        <v>5.79434791761932E-3</v>
      </c>
      <c r="S37" s="3"/>
      <c r="T37" s="7">
        <v>88245.327392307605</v>
      </c>
      <c r="U37" s="3"/>
      <c r="V37" s="8">
        <f t="shared" si="9"/>
        <v>1.0676215567207173E-2</v>
      </c>
      <c r="W37" s="3"/>
      <c r="X37" s="7">
        <f t="shared" si="10"/>
        <v>-24936.007392307605</v>
      </c>
      <c r="Y37" s="3"/>
      <c r="Z37" s="8">
        <f t="shared" si="11"/>
        <v>-0.28257595194191881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7">
        <v>4292.6899999999996</v>
      </c>
      <c r="E38" s="3"/>
      <c r="F38" s="8">
        <f t="shared" si="4"/>
        <v>2.4916539671461357E-3</v>
      </c>
      <c r="G38" s="3"/>
      <c r="H38" s="7">
        <v>4200</v>
      </c>
      <c r="I38" s="3"/>
      <c r="J38" s="8">
        <f t="shared" si="5"/>
        <v>3.8580246913580245E-3</v>
      </c>
      <c r="K38" s="3"/>
      <c r="L38" s="7">
        <f t="shared" si="6"/>
        <v>92.6899999999996</v>
      </c>
      <c r="M38" s="3"/>
      <c r="N38" s="8">
        <f t="shared" si="7"/>
        <v>2.2069047619047523E-2</v>
      </c>
      <c r="O38" s="12"/>
      <c r="P38" s="7">
        <v>34138.15</v>
      </c>
      <c r="Q38" s="3"/>
      <c r="R38" s="8">
        <f t="shared" si="8"/>
        <v>3.1244739062728207E-3</v>
      </c>
      <c r="S38" s="3"/>
      <c r="T38" s="7">
        <v>42000</v>
      </c>
      <c r="U38" s="3"/>
      <c r="V38" s="8">
        <f t="shared" si="9"/>
        <v>5.08130081300813E-3</v>
      </c>
      <c r="W38" s="3"/>
      <c r="X38" s="7">
        <f t="shared" si="10"/>
        <v>-7861.8499999999985</v>
      </c>
      <c r="Y38" s="3"/>
      <c r="Z38" s="8">
        <f t="shared" si="11"/>
        <v>-0.18718690476190472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300268.41000000003</v>
      </c>
      <c r="E39" s="2"/>
      <c r="F39" s="6">
        <f t="shared" si="4"/>
        <v>0.17428814449335092</v>
      </c>
      <c r="G39" s="2"/>
      <c r="H39" s="2">
        <f>SUM(OSRRefH22_1x_0)</f>
        <v>321638.45519230759</v>
      </c>
      <c r="I39" s="2"/>
      <c r="J39" s="6">
        <f t="shared" si="5"/>
        <v>0.29544978614813677</v>
      </c>
      <c r="K39" s="2"/>
      <c r="L39" s="2">
        <f t="shared" si="6"/>
        <v>-21370.04519230756</v>
      </c>
      <c r="M39" s="2"/>
      <c r="N39" s="6">
        <f t="shared" si="7"/>
        <v>-6.6441200818261645E-2</v>
      </c>
      <c r="O39" s="14"/>
      <c r="P39" s="2">
        <f>SUM(OSRRefP22_1x_0)</f>
        <v>2372810.0900000003</v>
      </c>
      <c r="Q39" s="2"/>
      <c r="R39" s="6">
        <f t="shared" si="8"/>
        <v>0.21717003442617316</v>
      </c>
      <c r="S39" s="2"/>
      <c r="T39" s="2">
        <f>SUM(OSRRefT22_1x_0)</f>
        <v>2661648.523992307</v>
      </c>
      <c r="U39" s="2"/>
      <c r="V39" s="6">
        <f t="shared" si="9"/>
        <v>0.3220151621167619</v>
      </c>
      <c r="W39" s="2"/>
      <c r="X39" s="2">
        <f t="shared" si="10"/>
        <v>-288838.4339923067</v>
      </c>
      <c r="Y39" s="2"/>
      <c r="Z39" s="6">
        <f t="shared" si="11"/>
        <v>-0.10851862347289455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7">
        <v>10250.19</v>
      </c>
      <c r="E40" s="3"/>
      <c r="F40" s="8">
        <f t="shared" si="4"/>
        <v>5.9496321834331513E-3</v>
      </c>
      <c r="G40" s="3"/>
      <c r="H40" s="7">
        <v>0</v>
      </c>
      <c r="I40" s="3"/>
      <c r="J40" s="8">
        <f t="shared" si="5"/>
        <v>0</v>
      </c>
      <c r="K40" s="3"/>
      <c r="L40" s="7">
        <f t="shared" si="6"/>
        <v>10250.19</v>
      </c>
      <c r="M40" s="3"/>
      <c r="N40" s="8">
        <f t="shared" si="7"/>
        <v>0</v>
      </c>
      <c r="O40" s="12"/>
      <c r="P40" s="7">
        <v>94415.56</v>
      </c>
      <c r="Q40" s="3"/>
      <c r="R40" s="8">
        <f t="shared" si="8"/>
        <v>8.6413280616007559E-3</v>
      </c>
      <c r="S40" s="3"/>
      <c r="T40" s="7">
        <v>0</v>
      </c>
      <c r="U40" s="3"/>
      <c r="V40" s="8">
        <f t="shared" si="9"/>
        <v>0</v>
      </c>
      <c r="W40" s="3"/>
      <c r="X40" s="7">
        <f t="shared" si="10"/>
        <v>94415.56</v>
      </c>
      <c r="Y40" s="3"/>
      <c r="Z40" s="8">
        <f t="shared" si="11"/>
        <v>0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7">
        <v>39269.78</v>
      </c>
      <c r="E41" s="3"/>
      <c r="F41" s="8">
        <f t="shared" si="4"/>
        <v>2.2793796692972469E-2</v>
      </c>
      <c r="G41" s="3"/>
      <c r="H41" s="7">
        <v>52786.5991923076</v>
      </c>
      <c r="I41" s="3"/>
      <c r="J41" s="8">
        <f t="shared" si="5"/>
        <v>4.8488572156367211E-2</v>
      </c>
      <c r="K41" s="3"/>
      <c r="L41" s="7">
        <f t="shared" si="6"/>
        <v>-13516.819192307601</v>
      </c>
      <c r="M41" s="3"/>
      <c r="N41" s="8">
        <f t="shared" si="7"/>
        <v>-0.2560653536907026</v>
      </c>
      <c r="O41" s="12"/>
      <c r="P41" s="7">
        <v>377240.39</v>
      </c>
      <c r="Q41" s="3"/>
      <c r="R41" s="8">
        <f t="shared" si="8"/>
        <v>3.4526702675662921E-2</v>
      </c>
      <c r="S41" s="3"/>
      <c r="T41" s="7">
        <v>462862.60339230701</v>
      </c>
      <c r="U41" s="3"/>
      <c r="V41" s="8">
        <f t="shared" si="9"/>
        <v>5.5998669593533078E-2</v>
      </c>
      <c r="W41" s="3"/>
      <c r="X41" s="7">
        <f t="shared" si="10"/>
        <v>-85622.213392306992</v>
      </c>
      <c r="Y41" s="3"/>
      <c r="Z41" s="8">
        <f t="shared" si="11"/>
        <v>-0.18498408116098428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7">
        <v>107469.03</v>
      </c>
      <c r="E43" s="3"/>
      <c r="F43" s="8">
        <f t="shared" si="4"/>
        <v>6.2379448538060545E-2</v>
      </c>
      <c r="G43" s="3"/>
      <c r="H43" s="7">
        <v>124648.432</v>
      </c>
      <c r="I43" s="3"/>
      <c r="J43" s="8">
        <f t="shared" si="5"/>
        <v>0.11449922104644326</v>
      </c>
      <c r="K43" s="3"/>
      <c r="L43" s="7">
        <f t="shared" si="6"/>
        <v>-17179.402000000002</v>
      </c>
      <c r="M43" s="3"/>
      <c r="N43" s="8">
        <f t="shared" si="7"/>
        <v>-0.13782284882652998</v>
      </c>
      <c r="O43" s="12"/>
      <c r="P43" s="7">
        <v>781631.51</v>
      </c>
      <c r="Q43" s="3"/>
      <c r="R43" s="8">
        <f t="shared" si="8"/>
        <v>7.1538359791483222E-2</v>
      </c>
      <c r="S43" s="3"/>
      <c r="T43" s="7">
        <v>1071406.2016</v>
      </c>
      <c r="U43" s="3"/>
      <c r="V43" s="8">
        <f t="shared" si="9"/>
        <v>0.12962231436314364</v>
      </c>
      <c r="W43" s="3"/>
      <c r="X43" s="7">
        <f t="shared" si="10"/>
        <v>-289774.69160000002</v>
      </c>
      <c r="Y43" s="3"/>
      <c r="Z43" s="8">
        <f t="shared" si="11"/>
        <v>-0.27046202566987271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7">
        <v>38191.879999999997</v>
      </c>
      <c r="E44" s="3"/>
      <c r="F44" s="8">
        <f t="shared" si="4"/>
        <v>2.2168139165597602E-2</v>
      </c>
      <c r="G44" s="3"/>
      <c r="H44" s="7">
        <v>25594.42</v>
      </c>
      <c r="I44" s="3"/>
      <c r="J44" s="8">
        <f t="shared" si="5"/>
        <v>2.3510453409758963E-2</v>
      </c>
      <c r="K44" s="3"/>
      <c r="L44" s="7">
        <f t="shared" si="6"/>
        <v>12597.46</v>
      </c>
      <c r="M44" s="3"/>
      <c r="N44" s="8">
        <f t="shared" si="7"/>
        <v>0.49219556450195001</v>
      </c>
      <c r="O44" s="12"/>
      <c r="P44" s="7">
        <v>369801.48</v>
      </c>
      <c r="Q44" s="3"/>
      <c r="R44" s="8">
        <f t="shared" si="8"/>
        <v>3.3845860855408694E-2</v>
      </c>
      <c r="S44" s="3"/>
      <c r="T44" s="7">
        <v>211142.32500000001</v>
      </c>
      <c r="U44" s="3"/>
      <c r="V44" s="8">
        <f t="shared" si="9"/>
        <v>2.5544706373403021E-2</v>
      </c>
      <c r="W44" s="3"/>
      <c r="X44" s="7">
        <f t="shared" si="10"/>
        <v>158659.15499999997</v>
      </c>
      <c r="Y44" s="3"/>
      <c r="Z44" s="8">
        <f t="shared" si="11"/>
        <v>0.75143226257454521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7">
        <v>3639.92</v>
      </c>
      <c r="E45" s="3"/>
      <c r="F45" s="8">
        <f t="shared" si="4"/>
        <v>2.1127593905207608E-3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3639.92</v>
      </c>
      <c r="M45" s="3"/>
      <c r="N45" s="8">
        <f t="shared" si="7"/>
        <v>0</v>
      </c>
      <c r="O45" s="12"/>
      <c r="P45" s="7">
        <v>7203.72</v>
      </c>
      <c r="Q45" s="3"/>
      <c r="R45" s="8">
        <f t="shared" si="8"/>
        <v>6.5931619516862048E-4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7203.72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7">
        <v>45897.96</v>
      </c>
      <c r="E46" s="3"/>
      <c r="F46" s="8">
        <f t="shared" si="4"/>
        <v>2.6641065187077255E-2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45897.96</v>
      </c>
      <c r="M46" s="3"/>
      <c r="N46" s="8">
        <f t="shared" si="7"/>
        <v>0</v>
      </c>
      <c r="O46" s="12"/>
      <c r="P46" s="7">
        <v>519808.25</v>
      </c>
      <c r="Q46" s="3"/>
      <c r="R46" s="8">
        <f t="shared" si="8"/>
        <v>4.7575141400173673E-2</v>
      </c>
      <c r="S46" s="3"/>
      <c r="T46" s="7">
        <v>42825.5</v>
      </c>
      <c r="U46" s="3"/>
      <c r="V46" s="8">
        <f t="shared" si="9"/>
        <v>5.1811725706542777E-3</v>
      </c>
      <c r="W46" s="3"/>
      <c r="X46" s="7">
        <f t="shared" si="10"/>
        <v>476982.75</v>
      </c>
      <c r="Y46" s="3"/>
      <c r="Z46" s="8">
        <f t="shared" si="11"/>
        <v>11.137820924449219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7">
        <v>55549.65</v>
      </c>
      <c r="E47" s="3"/>
      <c r="F47" s="8">
        <f t="shared" si="4"/>
        <v>3.224330333568913E-2</v>
      </c>
      <c r="G47" s="3"/>
      <c r="H47" s="7">
        <v>118609.004</v>
      </c>
      <c r="I47" s="3"/>
      <c r="J47" s="8">
        <f t="shared" si="5"/>
        <v>0.10895153953556731</v>
      </c>
      <c r="K47" s="3"/>
      <c r="L47" s="7">
        <f t="shared" si="6"/>
        <v>-63059.353999999999</v>
      </c>
      <c r="M47" s="3"/>
      <c r="N47" s="8">
        <f t="shared" si="7"/>
        <v>-0.53165739423964808</v>
      </c>
      <c r="O47" s="12"/>
      <c r="P47" s="7">
        <v>222709.18</v>
      </c>
      <c r="Q47" s="3"/>
      <c r="R47" s="8">
        <f t="shared" si="8"/>
        <v>2.038332544667525E-2</v>
      </c>
      <c r="S47" s="3"/>
      <c r="T47" s="7">
        <v>873411.89399999997</v>
      </c>
      <c r="U47" s="3"/>
      <c r="V47" s="8">
        <f t="shared" si="9"/>
        <v>0.10566829921602787</v>
      </c>
      <c r="W47" s="3"/>
      <c r="X47" s="7">
        <f t="shared" si="10"/>
        <v>-650702.71399999992</v>
      </c>
      <c r="Y47" s="3"/>
      <c r="Z47" s="8">
        <f t="shared" si="11"/>
        <v>-0.74501242594710981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7"/>
      <c r="E49" s="3"/>
      <c r="F49" s="8">
        <f t="shared" si="4"/>
        <v>0</v>
      </c>
      <c r="G49" s="3"/>
      <c r="H49" s="7">
        <v>0</v>
      </c>
      <c r="I49" s="3"/>
      <c r="J49" s="8">
        <f t="shared" si="5"/>
        <v>0</v>
      </c>
      <c r="K49" s="3"/>
      <c r="L49" s="7">
        <f t="shared" si="6"/>
        <v>0</v>
      </c>
      <c r="M49" s="3"/>
      <c r="N49" s="8">
        <f t="shared" si="7"/>
        <v>0</v>
      </c>
      <c r="O49" s="12"/>
      <c r="P49" s="7"/>
      <c r="Q49" s="3"/>
      <c r="R49" s="8">
        <f t="shared" si="8"/>
        <v>0</v>
      </c>
      <c r="S49" s="3"/>
      <c r="T49" s="7">
        <v>0</v>
      </c>
      <c r="U49" s="3"/>
      <c r="V49" s="8">
        <f t="shared" si="9"/>
        <v>0</v>
      </c>
      <c r="W49" s="3"/>
      <c r="X49" s="7">
        <f t="shared" si="10"/>
        <v>0</v>
      </c>
      <c r="Y49" s="3"/>
      <c r="Z49" s="8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208.76</v>
      </c>
      <c r="E50" s="2"/>
      <c r="F50" s="6">
        <f t="shared" si="4"/>
        <v>1.2117289675737762E-4</v>
      </c>
      <c r="G50" s="2"/>
      <c r="H50" s="2">
        <f>SUM(OSRRefH22_2x_0)</f>
        <v>1319</v>
      </c>
      <c r="I50" s="2"/>
      <c r="J50" s="6">
        <f t="shared" si="5"/>
        <v>1.211603468547913E-3</v>
      </c>
      <c r="K50" s="2"/>
      <c r="L50" s="2">
        <f t="shared" si="6"/>
        <v>-1110.24</v>
      </c>
      <c r="M50" s="2"/>
      <c r="N50" s="6">
        <f t="shared" si="7"/>
        <v>-0.84172858225928737</v>
      </c>
      <c r="O50" s="14"/>
      <c r="P50" s="2">
        <f>SUM(OSRRefP22_2x_0)</f>
        <v>3835.15</v>
      </c>
      <c r="Q50" s="2"/>
      <c r="R50" s="6">
        <f t="shared" si="8"/>
        <v>3.5100982629820911E-4</v>
      </c>
      <c r="S50" s="2"/>
      <c r="T50" s="2">
        <f>SUM(OSRRefT22_2x_0)</f>
        <v>13190</v>
      </c>
      <c r="U50" s="2"/>
      <c r="V50" s="6">
        <f t="shared" si="9"/>
        <v>1.5957704219899341E-3</v>
      </c>
      <c r="W50" s="2"/>
      <c r="X50" s="2">
        <f t="shared" si="10"/>
        <v>-9354.85</v>
      </c>
      <c r="Y50" s="2"/>
      <c r="Z50" s="6">
        <f t="shared" si="11"/>
        <v>-0.70923805913570892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7">
        <v>208.76</v>
      </c>
      <c r="E51" s="3"/>
      <c r="F51" s="8">
        <f t="shared" si="4"/>
        <v>1.2117289675737762E-4</v>
      </c>
      <c r="G51" s="3"/>
      <c r="H51" s="7">
        <v>1319</v>
      </c>
      <c r="I51" s="3"/>
      <c r="J51" s="8">
        <f t="shared" si="5"/>
        <v>1.211603468547913E-3</v>
      </c>
      <c r="K51" s="3"/>
      <c r="L51" s="7">
        <f t="shared" si="6"/>
        <v>-1110.24</v>
      </c>
      <c r="M51" s="3"/>
      <c r="N51" s="8">
        <f t="shared" si="7"/>
        <v>-0.84172858225928737</v>
      </c>
      <c r="O51" s="12"/>
      <c r="P51" s="7">
        <v>3835.15</v>
      </c>
      <c r="Q51" s="3"/>
      <c r="R51" s="8">
        <f t="shared" si="8"/>
        <v>3.5100982629820911E-4</v>
      </c>
      <c r="S51" s="3"/>
      <c r="T51" s="7">
        <v>13190</v>
      </c>
      <c r="U51" s="3"/>
      <c r="V51" s="8">
        <f t="shared" si="9"/>
        <v>1.5957704219899341E-3</v>
      </c>
      <c r="W51" s="3"/>
      <c r="X51" s="7">
        <f t="shared" si="10"/>
        <v>-9354.85</v>
      </c>
      <c r="Y51" s="3"/>
      <c r="Z51" s="8">
        <f t="shared" si="11"/>
        <v>-0.70923805913570892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-0.1</v>
      </c>
      <c r="E52" s="2"/>
      <c r="F52" s="6">
        <f t="shared" si="4"/>
        <v>-5.8044116093781202E-8</v>
      </c>
      <c r="G52" s="2"/>
      <c r="H52" s="2">
        <f>SUM(OSRRefH22_3x_0)</f>
        <v>33</v>
      </c>
      <c r="I52" s="2"/>
      <c r="J52" s="6">
        <f t="shared" si="5"/>
        <v>3.031305114638448E-5</v>
      </c>
      <c r="K52" s="2"/>
      <c r="L52" s="2">
        <f t="shared" si="6"/>
        <v>-33.1</v>
      </c>
      <c r="M52" s="2"/>
      <c r="N52" s="6">
        <f t="shared" si="7"/>
        <v>-1.0030303030303032</v>
      </c>
      <c r="O52" s="14"/>
      <c r="P52" s="2">
        <f>SUM(OSRRefP22_3x_0)</f>
        <v>-16</v>
      </c>
      <c r="Q52" s="2"/>
      <c r="R52" s="6">
        <f t="shared" si="8"/>
        <v>-1.4643904986170933E-6</v>
      </c>
      <c r="S52" s="2"/>
      <c r="T52" s="2">
        <f>SUM(OSRRefT22_3x_0)</f>
        <v>312</v>
      </c>
      <c r="U52" s="2"/>
      <c r="V52" s="6">
        <f t="shared" si="9"/>
        <v>3.7746806039488966E-5</v>
      </c>
      <c r="W52" s="2"/>
      <c r="X52" s="2">
        <f t="shared" si="10"/>
        <v>-328</v>
      </c>
      <c r="Y52" s="2"/>
      <c r="Z52" s="6">
        <f t="shared" si="11"/>
        <v>-1.0512820512820513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7">
        <v>-0.1</v>
      </c>
      <c r="E53" s="3"/>
      <c r="F53" s="8">
        <f t="shared" si="4"/>
        <v>-5.8044116093781202E-8</v>
      </c>
      <c r="G53" s="3"/>
      <c r="H53" s="7">
        <v>33</v>
      </c>
      <c r="I53" s="3"/>
      <c r="J53" s="8">
        <f t="shared" si="5"/>
        <v>3.031305114638448E-5</v>
      </c>
      <c r="K53" s="3"/>
      <c r="L53" s="7">
        <f t="shared" si="6"/>
        <v>-33.1</v>
      </c>
      <c r="M53" s="3"/>
      <c r="N53" s="8">
        <f t="shared" si="7"/>
        <v>-1.0030303030303032</v>
      </c>
      <c r="O53" s="12"/>
      <c r="P53" s="7">
        <v>-16</v>
      </c>
      <c r="Q53" s="3"/>
      <c r="R53" s="8">
        <f t="shared" si="8"/>
        <v>-1.4643904986170933E-6</v>
      </c>
      <c r="S53" s="3"/>
      <c r="T53" s="7">
        <v>312</v>
      </c>
      <c r="U53" s="3"/>
      <c r="V53" s="8">
        <f t="shared" si="9"/>
        <v>3.7746806039488966E-5</v>
      </c>
      <c r="W53" s="3"/>
      <c r="X53" s="7">
        <f t="shared" si="10"/>
        <v>-328</v>
      </c>
      <c r="Y53" s="3"/>
      <c r="Z53" s="8">
        <f t="shared" si="11"/>
        <v>-1.0512820512820513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270.32</v>
      </c>
      <c r="E54" s="2"/>
      <c r="F54" s="6">
        <f t="shared" si="4"/>
        <v>1.5690485462470933E-4</v>
      </c>
      <c r="G54" s="2"/>
      <c r="H54" s="2">
        <f>SUM(OSRRefH22_4x_0)</f>
        <v>410</v>
      </c>
      <c r="I54" s="2"/>
      <c r="J54" s="6">
        <f t="shared" si="5"/>
        <v>3.766166960611405E-4</v>
      </c>
      <c r="K54" s="2"/>
      <c r="L54" s="2">
        <f t="shared" si="6"/>
        <v>-139.68</v>
      </c>
      <c r="M54" s="2"/>
      <c r="N54" s="6">
        <f t="shared" si="7"/>
        <v>-0.34068292682926832</v>
      </c>
      <c r="O54" s="14"/>
      <c r="P54" s="2">
        <f>SUM(OSRRefP22_4x_0)</f>
        <v>1665.1</v>
      </c>
      <c r="Q54" s="2"/>
      <c r="R54" s="6">
        <f t="shared" si="8"/>
        <v>1.5239728870295762E-4</v>
      </c>
      <c r="S54" s="2"/>
      <c r="T54" s="2">
        <f>SUM(OSRRefT22_4x_0)</f>
        <v>4075</v>
      </c>
      <c r="U54" s="2"/>
      <c r="V54" s="6">
        <f t="shared" si="9"/>
        <v>4.9300716221447932E-4</v>
      </c>
      <c r="W54" s="2"/>
      <c r="X54" s="2">
        <f t="shared" si="10"/>
        <v>-2409.9</v>
      </c>
      <c r="Y54" s="2"/>
      <c r="Z54" s="6">
        <f t="shared" si="11"/>
        <v>-0.59138650306748464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7">
        <v>270.32</v>
      </c>
      <c r="E55" s="3"/>
      <c r="F55" s="8">
        <f t="shared" si="4"/>
        <v>1.5690485462470933E-4</v>
      </c>
      <c r="G55" s="3"/>
      <c r="H55" s="7">
        <v>410</v>
      </c>
      <c r="I55" s="3"/>
      <c r="J55" s="8">
        <f t="shared" si="5"/>
        <v>3.766166960611405E-4</v>
      </c>
      <c r="K55" s="3"/>
      <c r="L55" s="7">
        <f t="shared" si="6"/>
        <v>-139.68</v>
      </c>
      <c r="M55" s="3"/>
      <c r="N55" s="8">
        <f t="shared" si="7"/>
        <v>-0.34068292682926832</v>
      </c>
      <c r="O55" s="12"/>
      <c r="P55" s="7">
        <v>1665.1</v>
      </c>
      <c r="Q55" s="3"/>
      <c r="R55" s="8">
        <f t="shared" si="8"/>
        <v>1.5239728870295762E-4</v>
      </c>
      <c r="S55" s="3"/>
      <c r="T55" s="7">
        <v>4075</v>
      </c>
      <c r="U55" s="3"/>
      <c r="V55" s="8">
        <f t="shared" si="9"/>
        <v>4.9300716221447932E-4</v>
      </c>
      <c r="W55" s="3"/>
      <c r="X55" s="7">
        <f t="shared" si="10"/>
        <v>-2409.9</v>
      </c>
      <c r="Y55" s="3"/>
      <c r="Z55" s="8">
        <f t="shared" si="11"/>
        <v>-0.59138650306748464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760.04</v>
      </c>
      <c r="E56" s="2"/>
      <c r="F56" s="6">
        <f t="shared" si="4"/>
        <v>4.4115849995917457E-4</v>
      </c>
      <c r="G56" s="2"/>
      <c r="H56" s="2">
        <f>SUM(OSRRefH22_5x_0)</f>
        <v>486</v>
      </c>
      <c r="I56" s="2"/>
      <c r="J56" s="6">
        <f t="shared" si="5"/>
        <v>4.4642857142857141E-4</v>
      </c>
      <c r="K56" s="2"/>
      <c r="L56" s="2">
        <f t="shared" si="6"/>
        <v>274.03999999999996</v>
      </c>
      <c r="M56" s="2"/>
      <c r="N56" s="6">
        <f t="shared" si="7"/>
        <v>0.56386831275720162</v>
      </c>
      <c r="O56" s="14"/>
      <c r="P56" s="2">
        <f>SUM(OSRRefP22_5x_0)</f>
        <v>7600.4</v>
      </c>
      <c r="Q56" s="2"/>
      <c r="R56" s="6">
        <f t="shared" si="8"/>
        <v>6.9562209660558477E-4</v>
      </c>
      <c r="S56" s="2"/>
      <c r="T56" s="2">
        <f>SUM(OSRRefT22_5x_0)</f>
        <v>4860</v>
      </c>
      <c r="U56" s="2"/>
      <c r="V56" s="6">
        <f t="shared" si="9"/>
        <v>5.8797909407665508E-4</v>
      </c>
      <c r="W56" s="2"/>
      <c r="X56" s="2">
        <f t="shared" si="10"/>
        <v>2740.3999999999996</v>
      </c>
      <c r="Y56" s="2"/>
      <c r="Z56" s="6">
        <f t="shared" si="11"/>
        <v>0.56386831275720162</v>
      </c>
    </row>
    <row r="57" spans="1:26" s="70" customFormat="1" ht="15" hidden="1" customHeight="1" outlineLevel="2" x14ac:dyDescent="0.3">
      <c r="A57" s="26"/>
      <c r="B57" s="12" t="str">
        <f>CONCATENATE("          ","6322"," - ","EQUIPMENT DEPRECIATION EXPENSE")</f>
        <v xml:space="preserve">          6322 - EQUIPMENT DEPRECIATION EXPENSE</v>
      </c>
      <c r="C57" s="12"/>
      <c r="D57" s="7">
        <v>760.04</v>
      </c>
      <c r="E57" s="3"/>
      <c r="F57" s="8">
        <f t="shared" si="4"/>
        <v>4.4115849995917457E-4</v>
      </c>
      <c r="G57" s="3"/>
      <c r="H57" s="7">
        <v>486</v>
      </c>
      <c r="I57" s="3"/>
      <c r="J57" s="8">
        <f t="shared" si="5"/>
        <v>4.4642857142857141E-4</v>
      </c>
      <c r="K57" s="3"/>
      <c r="L57" s="7">
        <f t="shared" si="6"/>
        <v>274.03999999999996</v>
      </c>
      <c r="M57" s="3"/>
      <c r="N57" s="8">
        <f t="shared" si="7"/>
        <v>0.56386831275720162</v>
      </c>
      <c r="O57" s="12"/>
      <c r="P57" s="7">
        <v>7600.4</v>
      </c>
      <c r="Q57" s="3"/>
      <c r="R57" s="8">
        <f t="shared" si="8"/>
        <v>6.9562209660558477E-4</v>
      </c>
      <c r="S57" s="3"/>
      <c r="T57" s="7">
        <v>4860</v>
      </c>
      <c r="U57" s="3"/>
      <c r="V57" s="8">
        <f t="shared" si="9"/>
        <v>5.8797909407665508E-4</v>
      </c>
      <c r="W57" s="3"/>
      <c r="X57" s="7">
        <f t="shared" si="10"/>
        <v>2740.3999999999996</v>
      </c>
      <c r="Y57" s="3"/>
      <c r="Z57" s="8">
        <f t="shared" si="11"/>
        <v>0.56386831275720162</v>
      </c>
    </row>
    <row r="58" spans="1:26" s="69" customFormat="1" ht="15" customHeight="1" outlineLevel="1" collapsed="1" x14ac:dyDescent="0.3">
      <c r="A58" s="25"/>
      <c r="B58" s="14" t="str">
        <f>CONCATENATE("     ","Donations                                         ")</f>
        <v xml:space="preserve">     Donations                                         </v>
      </c>
      <c r="C58" s="14"/>
      <c r="D58" s="2">
        <f>SUM(OSRRefD22_6x_0)</f>
        <v>9656.14</v>
      </c>
      <c r="E58" s="2"/>
      <c r="F58" s="6">
        <f t="shared" si="4"/>
        <v>5.6048211117780437E-3</v>
      </c>
      <c r="G58" s="2"/>
      <c r="H58" s="2">
        <f>SUM(OSRRefH22_6x_0)</f>
        <v>15500</v>
      </c>
      <c r="I58" s="2"/>
      <c r="J58" s="6">
        <f t="shared" si="5"/>
        <v>1.4237948265726044E-2</v>
      </c>
      <c r="K58" s="2"/>
      <c r="L58" s="2">
        <f t="shared" si="6"/>
        <v>-5843.8600000000006</v>
      </c>
      <c r="M58" s="2"/>
      <c r="N58" s="6">
        <f t="shared" si="7"/>
        <v>-0.37702322580645165</v>
      </c>
      <c r="O58" s="14"/>
      <c r="P58" s="2">
        <f>SUM(OSRRefP22_6x_0)</f>
        <v>66691.27</v>
      </c>
      <c r="Q58" s="2"/>
      <c r="R58" s="6">
        <f t="shared" si="8"/>
        <v>6.1038788830442003E-3</v>
      </c>
      <c r="S58" s="2"/>
      <c r="T58" s="2">
        <f>SUM(OSRRefT22_6x_0)</f>
        <v>139500</v>
      </c>
      <c r="U58" s="2"/>
      <c r="V58" s="6">
        <f t="shared" si="9"/>
        <v>1.6877177700348432E-2</v>
      </c>
      <c r="W58" s="2"/>
      <c r="X58" s="2">
        <f t="shared" si="10"/>
        <v>-72808.73</v>
      </c>
      <c r="Y58" s="2"/>
      <c r="Z58" s="6">
        <f t="shared" si="11"/>
        <v>-0.52192637992831536</v>
      </c>
    </row>
    <row r="59" spans="1:26" s="70" customFormat="1" ht="15" hidden="1" customHeight="1" outlineLevel="2" x14ac:dyDescent="0.3">
      <c r="A59" s="26"/>
      <c r="B59" s="12" t="str">
        <f>CONCATENATE("          ","6399"," - ","DONATION-ON CAMPUS")</f>
        <v xml:space="preserve">          6399 - DONATION-ON CAMPUS</v>
      </c>
      <c r="C59" s="12"/>
      <c r="D59" s="7">
        <v>9656.14</v>
      </c>
      <c r="E59" s="3"/>
      <c r="F59" s="8">
        <f t="shared" ref="F59:F90" si="12">IF(D$12=0,0,D59/D$12)</f>
        <v>5.6048211117780437E-3</v>
      </c>
      <c r="G59" s="3"/>
      <c r="H59" s="7">
        <v>15500</v>
      </c>
      <c r="I59" s="3"/>
      <c r="J59" s="8">
        <f t="shared" ref="J59:J90" si="13">IF(H$12=0,0,H59/H$12)</f>
        <v>1.4237948265726044E-2</v>
      </c>
      <c r="K59" s="3"/>
      <c r="L59" s="7">
        <f t="shared" ref="L59:L90" si="14">+D59-H59</f>
        <v>-5843.8600000000006</v>
      </c>
      <c r="M59" s="3"/>
      <c r="N59" s="8">
        <f t="shared" ref="N59:N90" si="15">IF(H59=0,0,L59/H59)</f>
        <v>-0.37702322580645165</v>
      </c>
      <c r="O59" s="12"/>
      <c r="P59" s="7">
        <v>66691.27</v>
      </c>
      <c r="Q59" s="3"/>
      <c r="R59" s="8">
        <f t="shared" ref="R59:R90" si="16">IF(P$12=0,0,P59/P$12)</f>
        <v>6.1038788830442003E-3</v>
      </c>
      <c r="S59" s="3"/>
      <c r="T59" s="7">
        <v>139500</v>
      </c>
      <c r="U59" s="3"/>
      <c r="V59" s="8">
        <f t="shared" ref="V59:V90" si="17">IF(T$12=0,0,T59/T$12)</f>
        <v>1.6877177700348432E-2</v>
      </c>
      <c r="W59" s="3"/>
      <c r="X59" s="7">
        <f t="shared" ref="X59:X90" si="18">+P59-T59</f>
        <v>-72808.73</v>
      </c>
      <c r="Y59" s="3"/>
      <c r="Z59" s="8">
        <f t="shared" ref="Z59:Z90" si="19">IF(T59=0,0,X59/T59)</f>
        <v>-0.52192637992831536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SUM(OSRRefD22_7x_0)</f>
        <v>0</v>
      </c>
      <c r="E60" s="2"/>
      <c r="F60" s="6">
        <f t="shared" si="12"/>
        <v>0</v>
      </c>
      <c r="G60" s="2"/>
      <c r="H60" s="2">
        <f>SUM(OSRRefH22_7x_0)</f>
        <v>200</v>
      </c>
      <c r="I60" s="2"/>
      <c r="J60" s="6">
        <f t="shared" si="13"/>
        <v>1.8371546149323928E-4</v>
      </c>
      <c r="K60" s="2"/>
      <c r="L60" s="2">
        <f t="shared" si="14"/>
        <v>-200</v>
      </c>
      <c r="M60" s="2"/>
      <c r="N60" s="6">
        <f t="shared" si="15"/>
        <v>-1</v>
      </c>
      <c r="O60" s="14"/>
      <c r="P60" s="2">
        <f>SUM(OSRRefP22_7x_0)</f>
        <v>325.70999999999998</v>
      </c>
      <c r="Q60" s="2"/>
      <c r="R60" s="6">
        <f t="shared" si="16"/>
        <v>2.9810414331535841E-5</v>
      </c>
      <c r="S60" s="2"/>
      <c r="T60" s="2">
        <f>SUM(OSRRefT22_7x_0)</f>
        <v>2500</v>
      </c>
      <c r="U60" s="2"/>
      <c r="V60" s="6">
        <f t="shared" si="17"/>
        <v>3.0245838172667444E-4</v>
      </c>
      <c r="W60" s="2"/>
      <c r="X60" s="2">
        <f t="shared" si="18"/>
        <v>-2174.29</v>
      </c>
      <c r="Y60" s="2"/>
      <c r="Z60" s="6">
        <f t="shared" si="19"/>
        <v>-0.86971599999999993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200</v>
      </c>
      <c r="I61" s="3"/>
      <c r="J61" s="8">
        <f t="shared" si="13"/>
        <v>1.8371546149323928E-4</v>
      </c>
      <c r="K61" s="3"/>
      <c r="L61" s="7">
        <f t="shared" si="14"/>
        <v>-200</v>
      </c>
      <c r="M61" s="3"/>
      <c r="N61" s="8">
        <f t="shared" si="15"/>
        <v>-1</v>
      </c>
      <c r="O61" s="12"/>
      <c r="P61" s="7">
        <v>325.70999999999998</v>
      </c>
      <c r="Q61" s="3"/>
      <c r="R61" s="8">
        <f t="shared" si="16"/>
        <v>2.9810414331535841E-5</v>
      </c>
      <c r="S61" s="3"/>
      <c r="T61" s="7">
        <v>2500</v>
      </c>
      <c r="U61" s="3"/>
      <c r="V61" s="8">
        <f t="shared" si="17"/>
        <v>3.0245838172667444E-4</v>
      </c>
      <c r="W61" s="3"/>
      <c r="X61" s="7">
        <f t="shared" si="18"/>
        <v>-2174.29</v>
      </c>
      <c r="Y61" s="3"/>
      <c r="Z61" s="8">
        <f t="shared" si="19"/>
        <v>-0.86971599999999993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SUM(OSRRefD22_8x_0)</f>
        <v>1158.52</v>
      </c>
      <c r="E62" s="2"/>
      <c r="F62" s="6">
        <f t="shared" si="12"/>
        <v>6.724526937696739E-4</v>
      </c>
      <c r="G62" s="2"/>
      <c r="H62" s="2">
        <f>SUM(OSRRefH22_8x_0)</f>
        <v>795</v>
      </c>
      <c r="I62" s="2"/>
      <c r="J62" s="6">
        <f t="shared" si="13"/>
        <v>7.3026895943562606E-4</v>
      </c>
      <c r="K62" s="2"/>
      <c r="L62" s="2">
        <f t="shared" si="14"/>
        <v>363.52</v>
      </c>
      <c r="M62" s="2"/>
      <c r="N62" s="6">
        <f t="shared" si="15"/>
        <v>0.45725786163522009</v>
      </c>
      <c r="O62" s="14"/>
      <c r="P62" s="2">
        <f>SUM(OSRRefP22_8x_0)</f>
        <v>10777.89</v>
      </c>
      <c r="Q62" s="2"/>
      <c r="R62" s="6">
        <f t="shared" si="16"/>
        <v>9.8643998194626148E-4</v>
      </c>
      <c r="S62" s="2"/>
      <c r="T62" s="2">
        <f>SUM(OSRRefT22_8x_0)</f>
        <v>7950</v>
      </c>
      <c r="U62" s="2"/>
      <c r="V62" s="6">
        <f t="shared" si="17"/>
        <v>9.6181765389082464E-4</v>
      </c>
      <c r="W62" s="2"/>
      <c r="X62" s="2">
        <f t="shared" si="18"/>
        <v>2827.8899999999994</v>
      </c>
      <c r="Y62" s="2"/>
      <c r="Z62" s="6">
        <f t="shared" si="19"/>
        <v>0.35570943396226407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7">
        <v>1158.52</v>
      </c>
      <c r="E63" s="3"/>
      <c r="F63" s="8">
        <f t="shared" si="12"/>
        <v>6.724526937696739E-4</v>
      </c>
      <c r="G63" s="3"/>
      <c r="H63" s="7">
        <v>795</v>
      </c>
      <c r="I63" s="3"/>
      <c r="J63" s="8">
        <f t="shared" si="13"/>
        <v>7.3026895943562606E-4</v>
      </c>
      <c r="K63" s="3"/>
      <c r="L63" s="7">
        <f t="shared" si="14"/>
        <v>363.52</v>
      </c>
      <c r="M63" s="3"/>
      <c r="N63" s="8">
        <f t="shared" si="15"/>
        <v>0.45725786163522009</v>
      </c>
      <c r="O63" s="12"/>
      <c r="P63" s="7">
        <v>10777.89</v>
      </c>
      <c r="Q63" s="3"/>
      <c r="R63" s="8">
        <f t="shared" si="16"/>
        <v>9.8643998194626148E-4</v>
      </c>
      <c r="S63" s="3"/>
      <c r="T63" s="7">
        <v>7950</v>
      </c>
      <c r="U63" s="3"/>
      <c r="V63" s="8">
        <f t="shared" si="17"/>
        <v>9.6181765389082464E-4</v>
      </c>
      <c r="W63" s="3"/>
      <c r="X63" s="7">
        <f t="shared" si="18"/>
        <v>2827.8899999999994</v>
      </c>
      <c r="Y63" s="3"/>
      <c r="Z63" s="8">
        <f t="shared" si="19"/>
        <v>0.35570943396226407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SUM(OSRRefD22_9x_0)</f>
        <v>5021.28</v>
      </c>
      <c r="E64" s="2"/>
      <c r="F64" s="6">
        <f t="shared" si="12"/>
        <v>2.9145575925938164E-3</v>
      </c>
      <c r="G64" s="2"/>
      <c r="H64" s="2">
        <f>SUM(OSRRefH22_9x_0)</f>
        <v>540</v>
      </c>
      <c r="I64" s="2"/>
      <c r="J64" s="6">
        <f t="shared" si="13"/>
        <v>4.96031746031746E-4</v>
      </c>
      <c r="K64" s="2"/>
      <c r="L64" s="2">
        <f t="shared" si="14"/>
        <v>4481.28</v>
      </c>
      <c r="M64" s="2"/>
      <c r="N64" s="6">
        <f t="shared" si="15"/>
        <v>8.2986666666666657</v>
      </c>
      <c r="O64" s="14"/>
      <c r="P64" s="2">
        <f>SUM(OSRRefP22_9x_0)</f>
        <v>19503.71</v>
      </c>
      <c r="Q64" s="2"/>
      <c r="R64" s="6">
        <f t="shared" si="16"/>
        <v>1.7850654757364493E-3</v>
      </c>
      <c r="S64" s="2"/>
      <c r="T64" s="2">
        <f>SUM(OSRRefT22_9x_0)</f>
        <v>10870</v>
      </c>
      <c r="U64" s="2"/>
      <c r="V64" s="6">
        <f t="shared" si="17"/>
        <v>1.3150890437475804E-3</v>
      </c>
      <c r="W64" s="2"/>
      <c r="X64" s="2">
        <f t="shared" si="18"/>
        <v>8633.7099999999991</v>
      </c>
      <c r="Y64" s="2"/>
      <c r="Z64" s="6">
        <f t="shared" si="19"/>
        <v>0.79426954921803117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>
        <v>5021.28</v>
      </c>
      <c r="E65" s="3"/>
      <c r="F65" s="8">
        <f t="shared" si="12"/>
        <v>2.9145575925938164E-3</v>
      </c>
      <c r="G65" s="3"/>
      <c r="H65" s="7">
        <v>540</v>
      </c>
      <c r="I65" s="3"/>
      <c r="J65" s="8">
        <f t="shared" si="13"/>
        <v>4.96031746031746E-4</v>
      </c>
      <c r="K65" s="3"/>
      <c r="L65" s="7">
        <f t="shared" si="14"/>
        <v>4481.28</v>
      </c>
      <c r="M65" s="3"/>
      <c r="N65" s="8">
        <f t="shared" si="15"/>
        <v>8.2986666666666657</v>
      </c>
      <c r="O65" s="12"/>
      <c r="P65" s="7">
        <v>19503.71</v>
      </c>
      <c r="Q65" s="3"/>
      <c r="R65" s="8">
        <f t="shared" si="16"/>
        <v>1.7850654757364493E-3</v>
      </c>
      <c r="S65" s="3"/>
      <c r="T65" s="7">
        <v>10870</v>
      </c>
      <c r="U65" s="3"/>
      <c r="V65" s="8">
        <f t="shared" si="17"/>
        <v>1.3150890437475804E-3</v>
      </c>
      <c r="W65" s="3"/>
      <c r="X65" s="7">
        <f t="shared" si="18"/>
        <v>8633.7099999999991</v>
      </c>
      <c r="Y65" s="3"/>
      <c r="Z65" s="8">
        <f t="shared" si="19"/>
        <v>0.79426954921803117</v>
      </c>
    </row>
    <row r="66" spans="1:26" s="69" customFormat="1" ht="15" customHeight="1" outlineLevel="1" collapsed="1" x14ac:dyDescent="0.3">
      <c r="A66" s="25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SUM(OSRRefD22_10x_0)</f>
        <v>5.21</v>
      </c>
      <c r="E66" s="2"/>
      <c r="F66" s="6">
        <f t="shared" si="12"/>
        <v>3.0240984484860003E-6</v>
      </c>
      <c r="G66" s="2"/>
      <c r="H66" s="2">
        <f>SUM(OSRRefH22_10x_0)</f>
        <v>10</v>
      </c>
      <c r="I66" s="2"/>
      <c r="J66" s="6">
        <f t="shared" si="13"/>
        <v>9.1857730746619636E-6</v>
      </c>
      <c r="K66" s="2"/>
      <c r="L66" s="2">
        <f t="shared" si="14"/>
        <v>-4.79</v>
      </c>
      <c r="M66" s="2"/>
      <c r="N66" s="6">
        <f t="shared" si="15"/>
        <v>-0.47899999999999998</v>
      </c>
      <c r="O66" s="14"/>
      <c r="P66" s="2">
        <f>SUM(OSRRefP22_10x_0)</f>
        <v>52.11</v>
      </c>
      <c r="Q66" s="2"/>
      <c r="R66" s="6">
        <f t="shared" si="16"/>
        <v>4.7693368051835459E-6</v>
      </c>
      <c r="S66" s="2"/>
      <c r="T66" s="2">
        <f>SUM(OSRRefT22_10x_0)</f>
        <v>100</v>
      </c>
      <c r="U66" s="2"/>
      <c r="V66" s="6">
        <f t="shared" si="17"/>
        <v>1.2098335269066976E-5</v>
      </c>
      <c r="W66" s="2"/>
      <c r="X66" s="2">
        <f t="shared" si="18"/>
        <v>-47.89</v>
      </c>
      <c r="Y66" s="2"/>
      <c r="Z66" s="6">
        <f t="shared" si="19"/>
        <v>-0.47889999999999999</v>
      </c>
    </row>
    <row r="67" spans="1:26" s="70" customFormat="1" ht="15" hidden="1" customHeight="1" outlineLevel="2" x14ac:dyDescent="0.3">
      <c r="A67" s="26"/>
      <c r="B67" s="12" t="str">
        <f>CONCATENATE("          ","6314"," - ","LIABILITY INSURANCE")</f>
        <v xml:space="preserve">          6314 - LIABILITY INSURANCE</v>
      </c>
      <c r="C67" s="12"/>
      <c r="D67" s="7">
        <v>5.21</v>
      </c>
      <c r="E67" s="3"/>
      <c r="F67" s="8">
        <f t="shared" si="12"/>
        <v>3.0240984484860003E-6</v>
      </c>
      <c r="G67" s="3"/>
      <c r="H67" s="7">
        <v>10</v>
      </c>
      <c r="I67" s="3"/>
      <c r="J67" s="8">
        <f t="shared" si="13"/>
        <v>9.1857730746619636E-6</v>
      </c>
      <c r="K67" s="3"/>
      <c r="L67" s="7">
        <f t="shared" si="14"/>
        <v>-4.79</v>
      </c>
      <c r="M67" s="3"/>
      <c r="N67" s="8">
        <f t="shared" si="15"/>
        <v>-0.47899999999999998</v>
      </c>
      <c r="O67" s="12"/>
      <c r="P67" s="7">
        <v>52.11</v>
      </c>
      <c r="Q67" s="3"/>
      <c r="R67" s="8">
        <f t="shared" si="16"/>
        <v>4.7693368051835459E-6</v>
      </c>
      <c r="S67" s="3"/>
      <c r="T67" s="7">
        <v>100</v>
      </c>
      <c r="U67" s="3"/>
      <c r="V67" s="8">
        <f t="shared" si="17"/>
        <v>1.2098335269066976E-5</v>
      </c>
      <c r="W67" s="3"/>
      <c r="X67" s="7">
        <f t="shared" si="18"/>
        <v>-47.89</v>
      </c>
      <c r="Y67" s="3"/>
      <c r="Z67" s="8">
        <f t="shared" si="19"/>
        <v>-0.47889999999999999</v>
      </c>
    </row>
    <row r="68" spans="1:26" s="69" customFormat="1" ht="15" customHeight="1" outlineLevel="1" collapsed="1" x14ac:dyDescent="0.3">
      <c r="A68" s="25"/>
      <c r="B68" s="14" t="str">
        <f>CONCATENATE("     ","R/H Commissions                                   ")</f>
        <v xml:space="preserve">     R/H Commissions                                   </v>
      </c>
      <c r="C68" s="14"/>
      <c r="D68" s="2">
        <f>SUM(OSRRefD22_11x_0)</f>
        <v>135508.24</v>
      </c>
      <c r="E68" s="2"/>
      <c r="F68" s="6">
        <f t="shared" si="12"/>
        <v>7.8654560142239649E-2</v>
      </c>
      <c r="G68" s="2"/>
      <c r="H68" s="2">
        <f>SUM(OSRRefH22_11x_0)</f>
        <v>87091</v>
      </c>
      <c r="I68" s="2"/>
      <c r="J68" s="6">
        <f t="shared" si="13"/>
        <v>7.9999816284538505E-2</v>
      </c>
      <c r="K68" s="2"/>
      <c r="L68" s="2">
        <f t="shared" si="14"/>
        <v>48417.239999999991</v>
      </c>
      <c r="M68" s="2"/>
      <c r="N68" s="6">
        <f t="shared" si="15"/>
        <v>0.55593850110803633</v>
      </c>
      <c r="O68" s="14"/>
      <c r="P68" s="2">
        <f>SUM(OSRRefP22_11x_0)</f>
        <v>856200.41</v>
      </c>
      <c r="Q68" s="2"/>
      <c r="R68" s="6">
        <f t="shared" si="16"/>
        <v>7.8363234082253735E-2</v>
      </c>
      <c r="S68" s="2"/>
      <c r="T68" s="2">
        <f>SUM(OSRRefT22_11x_0)</f>
        <v>659088</v>
      </c>
      <c r="U68" s="2"/>
      <c r="V68" s="6">
        <f t="shared" si="17"/>
        <v>7.9738675958188149E-2</v>
      </c>
      <c r="W68" s="2"/>
      <c r="X68" s="2">
        <f t="shared" si="18"/>
        <v>197112.41000000003</v>
      </c>
      <c r="Y68" s="2"/>
      <c r="Z68" s="6">
        <f t="shared" si="19"/>
        <v>0.29906842485373736</v>
      </c>
    </row>
    <row r="69" spans="1:26" s="70" customFormat="1" ht="15" hidden="1" customHeight="1" outlineLevel="2" x14ac:dyDescent="0.3">
      <c r="A69" s="26"/>
      <c r="B69" s="12" t="str">
        <f>CONCATENATE("          ","6387"," - ","COMMISSION DUE HOUSING")</f>
        <v xml:space="preserve">          6387 - COMMISSION DUE HOUSING</v>
      </c>
      <c r="C69" s="12"/>
      <c r="D69" s="7">
        <v>135508.24</v>
      </c>
      <c r="E69" s="3"/>
      <c r="F69" s="8">
        <f t="shared" si="12"/>
        <v>7.8654560142239649E-2</v>
      </c>
      <c r="G69" s="3"/>
      <c r="H69" s="7">
        <v>87091</v>
      </c>
      <c r="I69" s="3"/>
      <c r="J69" s="8">
        <f t="shared" si="13"/>
        <v>7.9999816284538505E-2</v>
      </c>
      <c r="K69" s="3"/>
      <c r="L69" s="7">
        <f t="shared" si="14"/>
        <v>48417.239999999991</v>
      </c>
      <c r="M69" s="3"/>
      <c r="N69" s="8">
        <f t="shared" si="15"/>
        <v>0.55593850110803633</v>
      </c>
      <c r="O69" s="12"/>
      <c r="P69" s="7">
        <v>856200.41</v>
      </c>
      <c r="Q69" s="3"/>
      <c r="R69" s="8">
        <f t="shared" si="16"/>
        <v>7.8363234082253735E-2</v>
      </c>
      <c r="S69" s="3"/>
      <c r="T69" s="7">
        <v>659088</v>
      </c>
      <c r="U69" s="3"/>
      <c r="V69" s="8">
        <f t="shared" si="17"/>
        <v>7.9738675958188149E-2</v>
      </c>
      <c r="W69" s="3"/>
      <c r="X69" s="7">
        <f t="shared" si="18"/>
        <v>197112.41000000003</v>
      </c>
      <c r="Y69" s="3"/>
      <c r="Z69" s="8">
        <f t="shared" si="19"/>
        <v>0.29906842485373736</v>
      </c>
    </row>
    <row r="70" spans="1:26" s="69" customFormat="1" ht="15" customHeight="1" outlineLevel="1" collapsed="1" x14ac:dyDescent="0.3">
      <c r="A70" s="25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SUM(OSRRefD22_12x_0)</f>
        <v>4051.82</v>
      </c>
      <c r="E70" s="2"/>
      <c r="F70" s="6">
        <f t="shared" si="12"/>
        <v>2.3518431047110456E-3</v>
      </c>
      <c r="G70" s="2"/>
      <c r="H70" s="2">
        <f>SUM(OSRRefH22_12x_0)</f>
        <v>7550</v>
      </c>
      <c r="I70" s="2"/>
      <c r="J70" s="6">
        <f t="shared" si="13"/>
        <v>6.9352586713697824E-3</v>
      </c>
      <c r="K70" s="2"/>
      <c r="L70" s="2">
        <f t="shared" si="14"/>
        <v>-3498.18</v>
      </c>
      <c r="M70" s="2"/>
      <c r="N70" s="6">
        <f t="shared" si="15"/>
        <v>-0.4633350993377483</v>
      </c>
      <c r="O70" s="14"/>
      <c r="P70" s="2">
        <f>SUM(OSRRefP22_12x_0)</f>
        <v>46893.520000000004</v>
      </c>
      <c r="Q70" s="2"/>
      <c r="R70" s="6">
        <f t="shared" si="16"/>
        <v>4.2919015709194158E-3</v>
      </c>
      <c r="S70" s="2"/>
      <c r="T70" s="2">
        <f>SUM(OSRRefT22_12x_0)</f>
        <v>56400</v>
      </c>
      <c r="U70" s="2"/>
      <c r="V70" s="6">
        <f t="shared" si="17"/>
        <v>6.823461091753775E-3</v>
      </c>
      <c r="W70" s="2"/>
      <c r="X70" s="2">
        <f t="shared" si="18"/>
        <v>-9506.4799999999959</v>
      </c>
      <c r="Y70" s="2"/>
      <c r="Z70" s="6">
        <f t="shared" si="19"/>
        <v>-0.16855460992907795</v>
      </c>
    </row>
    <row r="71" spans="1:26" s="70" customFormat="1" ht="15" hidden="1" customHeight="1" outlineLevel="2" x14ac:dyDescent="0.3">
      <c r="A71" s="26"/>
      <c r="B71" s="12" t="str">
        <f>CONCATENATE("          ","6371"," - ","COMPUTER SOFTWARE MAINTENANCE")</f>
        <v xml:space="preserve">          6371 - COMPUTER SOFTWARE MAINTENANCE</v>
      </c>
      <c r="C71" s="12"/>
      <c r="D71" s="7">
        <v>3500</v>
      </c>
      <c r="E71" s="3"/>
      <c r="F71" s="8">
        <f t="shared" si="12"/>
        <v>2.0315440632823418E-3</v>
      </c>
      <c r="G71" s="3"/>
      <c r="H71" s="7">
        <v>3500</v>
      </c>
      <c r="I71" s="3"/>
      <c r="J71" s="8">
        <f t="shared" si="13"/>
        <v>3.2150205761316874E-3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35000</v>
      </c>
      <c r="Q71" s="3"/>
      <c r="R71" s="8">
        <f t="shared" si="16"/>
        <v>3.2033542157248918E-3</v>
      </c>
      <c r="S71" s="3"/>
      <c r="T71" s="7">
        <v>35000</v>
      </c>
      <c r="U71" s="3"/>
      <c r="V71" s="8">
        <f t="shared" si="17"/>
        <v>4.2344173441734414E-3</v>
      </c>
      <c r="W71" s="3"/>
      <c r="X71" s="7">
        <f t="shared" si="18"/>
        <v>0</v>
      </c>
      <c r="Y71" s="3"/>
      <c r="Z71" s="8">
        <f t="shared" si="19"/>
        <v>0</v>
      </c>
    </row>
    <row r="72" spans="1:26" s="70" customFormat="1" ht="15" hidden="1" customHeight="1" outlineLevel="2" x14ac:dyDescent="0.3">
      <c r="A72" s="26"/>
      <c r="B72" s="12" t="str">
        <f>CONCATENATE("          ","6373"," - ","MAINTENANCE CONTRACTS")</f>
        <v xml:space="preserve">          6373 - MAINTENANCE CONTRACTS</v>
      </c>
      <c r="C72" s="12"/>
      <c r="D72" s="7">
        <v>4.67</v>
      </c>
      <c r="E72" s="3"/>
      <c r="F72" s="8">
        <f t="shared" si="12"/>
        <v>2.710660221579582E-6</v>
      </c>
      <c r="G72" s="3"/>
      <c r="H72" s="7">
        <v>3500</v>
      </c>
      <c r="I72" s="3"/>
      <c r="J72" s="8">
        <f t="shared" si="13"/>
        <v>3.2150205761316874E-3</v>
      </c>
      <c r="K72" s="3"/>
      <c r="L72" s="7">
        <f t="shared" si="14"/>
        <v>-3495.33</v>
      </c>
      <c r="M72" s="3"/>
      <c r="N72" s="8">
        <f t="shared" si="15"/>
        <v>-0.99866571428571427</v>
      </c>
      <c r="O72" s="12"/>
      <c r="P72" s="7">
        <v>4485.87</v>
      </c>
      <c r="Q72" s="3"/>
      <c r="R72" s="8">
        <f t="shared" si="16"/>
        <v>4.105665878769663E-4</v>
      </c>
      <c r="S72" s="3"/>
      <c r="T72" s="7">
        <v>15900</v>
      </c>
      <c r="U72" s="3"/>
      <c r="V72" s="8">
        <f t="shared" si="17"/>
        <v>1.9236353077816493E-3</v>
      </c>
      <c r="W72" s="3"/>
      <c r="X72" s="7">
        <f t="shared" si="18"/>
        <v>-11414.130000000001</v>
      </c>
      <c r="Y72" s="3"/>
      <c r="Z72" s="8">
        <f t="shared" si="19"/>
        <v>-0.71786981132075478</v>
      </c>
    </row>
    <row r="73" spans="1:26" s="70" customFormat="1" ht="15" hidden="1" customHeight="1" outlineLevel="2" x14ac:dyDescent="0.3">
      <c r="A73" s="26"/>
      <c r="B73" s="12" t="str">
        <f>CONCATENATE("          ","6375"," - ","OUTSIDE REPAIRS &amp; MAINTENANCE")</f>
        <v xml:space="preserve">          6375 - OUTSIDE REPAIRS &amp; MAINTENANCE</v>
      </c>
      <c r="C73" s="12"/>
      <c r="D73" s="7">
        <v>547.15</v>
      </c>
      <c r="E73" s="3"/>
      <c r="F73" s="8">
        <f t="shared" si="12"/>
        <v>3.1758838120712381E-4</v>
      </c>
      <c r="G73" s="3"/>
      <c r="H73" s="7">
        <v>550</v>
      </c>
      <c r="I73" s="3"/>
      <c r="J73" s="8">
        <f t="shared" si="13"/>
        <v>5.05217519106408E-4</v>
      </c>
      <c r="K73" s="3"/>
      <c r="L73" s="7">
        <f t="shared" si="14"/>
        <v>-2.8500000000000227</v>
      </c>
      <c r="M73" s="3"/>
      <c r="N73" s="8">
        <f t="shared" si="15"/>
        <v>-5.1818181818182232E-3</v>
      </c>
      <c r="O73" s="12"/>
      <c r="P73" s="7">
        <v>7407.65</v>
      </c>
      <c r="Q73" s="3"/>
      <c r="R73" s="8">
        <f t="shared" si="16"/>
        <v>6.7798076731755694E-4</v>
      </c>
      <c r="S73" s="3"/>
      <c r="T73" s="7">
        <v>5500</v>
      </c>
      <c r="U73" s="3"/>
      <c r="V73" s="8">
        <f t="shared" si="17"/>
        <v>6.6540843979868373E-4</v>
      </c>
      <c r="W73" s="3"/>
      <c r="X73" s="7">
        <f t="shared" si="18"/>
        <v>1907.6499999999996</v>
      </c>
      <c r="Y73" s="3"/>
      <c r="Z73" s="8">
        <f t="shared" si="19"/>
        <v>0.34684545454545446</v>
      </c>
    </row>
    <row r="74" spans="1:26" s="69" customFormat="1" ht="15" customHeight="1" outlineLevel="1" collapsed="1" x14ac:dyDescent="0.3">
      <c r="A74" s="25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SUM(OSRRefD22_13x_0)</f>
        <v>20131.740000000002</v>
      </c>
      <c r="E74" s="2"/>
      <c r="F74" s="6">
        <f t="shared" si="12"/>
        <v>1.1685290537298188E-2</v>
      </c>
      <c r="G74" s="2"/>
      <c r="H74" s="2">
        <f>SUM(OSRRefH22_13x_0)</f>
        <v>21796</v>
      </c>
      <c r="I74" s="2"/>
      <c r="J74" s="6">
        <f t="shared" si="13"/>
        <v>2.0021310993533215E-2</v>
      </c>
      <c r="K74" s="2"/>
      <c r="L74" s="2">
        <f t="shared" si="14"/>
        <v>-1664.2599999999984</v>
      </c>
      <c r="M74" s="2"/>
      <c r="N74" s="6">
        <f t="shared" si="15"/>
        <v>-7.6356212149018096E-2</v>
      </c>
      <c r="O74" s="14"/>
      <c r="P74" s="2">
        <f>SUM(OSRRefP22_13x_0)</f>
        <v>175626.04</v>
      </c>
      <c r="Q74" s="2"/>
      <c r="R74" s="6">
        <f t="shared" si="16"/>
        <v>1.6074069017859099E-2</v>
      </c>
      <c r="S74" s="2"/>
      <c r="T74" s="2">
        <f>SUM(OSRRefT22_13x_0)</f>
        <v>213216</v>
      </c>
      <c r="U74" s="2"/>
      <c r="V74" s="6">
        <f t="shared" si="17"/>
        <v>2.5795586527293843E-2</v>
      </c>
      <c r="W74" s="2"/>
      <c r="X74" s="2">
        <f t="shared" si="18"/>
        <v>-37589.959999999992</v>
      </c>
      <c r="Y74" s="2"/>
      <c r="Z74" s="6">
        <f t="shared" si="19"/>
        <v>-0.17629990244634544</v>
      </c>
    </row>
    <row r="75" spans="1:26" s="70" customFormat="1" ht="15" hidden="1" customHeight="1" outlineLevel="2" x14ac:dyDescent="0.3">
      <c r="A75" s="26"/>
      <c r="B75" s="12" t="str">
        <f>CONCATENATE("          ","6282"," - ","JANITORIAL/EXTERMINATOR EXPENS")</f>
        <v xml:space="preserve">          6282 - JANITORIAL/EXTERMINATOR EXPENS</v>
      </c>
      <c r="C75" s="12"/>
      <c r="D75" s="7">
        <v>914.2</v>
      </c>
      <c r="E75" s="3"/>
      <c r="F75" s="8">
        <f t="shared" si="12"/>
        <v>5.3063930932934769E-4</v>
      </c>
      <c r="G75" s="3"/>
      <c r="H75" s="7">
        <v>1570</v>
      </c>
      <c r="I75" s="3"/>
      <c r="J75" s="8">
        <f t="shared" si="13"/>
        <v>1.4421663727219283E-3</v>
      </c>
      <c r="K75" s="3"/>
      <c r="L75" s="7">
        <f t="shared" si="14"/>
        <v>-655.8</v>
      </c>
      <c r="M75" s="3"/>
      <c r="N75" s="8">
        <f t="shared" si="15"/>
        <v>-0.4177070063694267</v>
      </c>
      <c r="O75" s="12"/>
      <c r="P75" s="7">
        <v>16883.169999999998</v>
      </c>
      <c r="Q75" s="3"/>
      <c r="R75" s="8">
        <f t="shared" si="16"/>
        <v>1.5452221084085718E-3</v>
      </c>
      <c r="S75" s="3"/>
      <c r="T75" s="7">
        <v>15700</v>
      </c>
      <c r="U75" s="3"/>
      <c r="V75" s="8">
        <f t="shared" si="17"/>
        <v>1.8994386372435154E-3</v>
      </c>
      <c r="W75" s="3"/>
      <c r="X75" s="7">
        <f t="shared" si="18"/>
        <v>1183.1699999999983</v>
      </c>
      <c r="Y75" s="3"/>
      <c r="Z75" s="8">
        <f t="shared" si="19"/>
        <v>7.5361146496815176E-2</v>
      </c>
    </row>
    <row r="76" spans="1:26" s="70" customFormat="1" ht="15" hidden="1" customHeight="1" outlineLevel="2" x14ac:dyDescent="0.3">
      <c r="A76" s="26"/>
      <c r="B76" s="12" t="str">
        <f>CONCATENATE("          ","6284"," - ","TRASH REMOVAL EXPENSE")</f>
        <v xml:space="preserve">          6284 - TRASH REMOVAL EXPENSE</v>
      </c>
      <c r="C76" s="12"/>
      <c r="D76" s="7"/>
      <c r="E76" s="3"/>
      <c r="F76" s="8">
        <f t="shared" si="12"/>
        <v>0</v>
      </c>
      <c r="G76" s="3"/>
      <c r="H76" s="7">
        <v>600</v>
      </c>
      <c r="I76" s="3"/>
      <c r="J76" s="8">
        <f t="shared" si="13"/>
        <v>5.5114638447971778E-4</v>
      </c>
      <c r="K76" s="3"/>
      <c r="L76" s="7">
        <f t="shared" si="14"/>
        <v>-600</v>
      </c>
      <c r="M76" s="3"/>
      <c r="N76" s="8">
        <f t="shared" si="15"/>
        <v>-1</v>
      </c>
      <c r="O76" s="12"/>
      <c r="P76" s="7"/>
      <c r="Q76" s="3"/>
      <c r="R76" s="8">
        <f t="shared" si="16"/>
        <v>0</v>
      </c>
      <c r="S76" s="3"/>
      <c r="T76" s="7">
        <v>6000</v>
      </c>
      <c r="U76" s="3"/>
      <c r="V76" s="8">
        <f t="shared" si="17"/>
        <v>7.2590011614401858E-4</v>
      </c>
      <c r="W76" s="3"/>
      <c r="X76" s="7">
        <f t="shared" si="18"/>
        <v>-6000</v>
      </c>
      <c r="Y76" s="3"/>
      <c r="Z76" s="8">
        <f t="shared" si="19"/>
        <v>-1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7">
        <v>14445.32</v>
      </c>
      <c r="E77" s="3"/>
      <c r="F77" s="8">
        <f t="shared" si="12"/>
        <v>8.3846583109181937E-3</v>
      </c>
      <c r="G77" s="3"/>
      <c r="H77" s="7">
        <v>14859</v>
      </c>
      <c r="I77" s="3"/>
      <c r="J77" s="8">
        <f t="shared" si="13"/>
        <v>1.3649140211640211E-2</v>
      </c>
      <c r="K77" s="3"/>
      <c r="L77" s="7">
        <f t="shared" si="14"/>
        <v>-413.68000000000029</v>
      </c>
      <c r="M77" s="3"/>
      <c r="N77" s="8">
        <f t="shared" si="15"/>
        <v>-2.7840366108082663E-2</v>
      </c>
      <c r="O77" s="12"/>
      <c r="P77" s="7">
        <v>129485.71</v>
      </c>
      <c r="Q77" s="3"/>
      <c r="R77" s="8">
        <f t="shared" si="16"/>
        <v>1.1851102714418024E-2</v>
      </c>
      <c r="S77" s="3"/>
      <c r="T77" s="7">
        <v>145446</v>
      </c>
      <c r="U77" s="3"/>
      <c r="V77" s="8">
        <f t="shared" si="17"/>
        <v>1.7596544715447155E-2</v>
      </c>
      <c r="W77" s="3"/>
      <c r="X77" s="7">
        <f t="shared" si="18"/>
        <v>-15960.289999999994</v>
      </c>
      <c r="Y77" s="3"/>
      <c r="Z77" s="8">
        <f t="shared" si="19"/>
        <v>-0.10973344058963459</v>
      </c>
    </row>
    <row r="78" spans="1:26" s="70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7">
        <v>4772.22</v>
      </c>
      <c r="E78" s="3"/>
      <c r="F78" s="8">
        <f t="shared" si="12"/>
        <v>2.7699929170506453E-3</v>
      </c>
      <c r="G78" s="3"/>
      <c r="H78" s="7">
        <v>4767</v>
      </c>
      <c r="I78" s="3"/>
      <c r="J78" s="8">
        <f t="shared" si="13"/>
        <v>4.3788580246913577E-3</v>
      </c>
      <c r="K78" s="3"/>
      <c r="L78" s="7">
        <f t="shared" si="14"/>
        <v>5.2200000000002547</v>
      </c>
      <c r="M78" s="3"/>
      <c r="N78" s="8">
        <f t="shared" si="15"/>
        <v>1.0950283196979767E-3</v>
      </c>
      <c r="O78" s="12"/>
      <c r="P78" s="7">
        <v>29257.16</v>
      </c>
      <c r="Q78" s="3"/>
      <c r="R78" s="8">
        <f t="shared" si="16"/>
        <v>2.677744195032505E-3</v>
      </c>
      <c r="S78" s="3"/>
      <c r="T78" s="7">
        <v>46070</v>
      </c>
      <c r="U78" s="3"/>
      <c r="V78" s="8">
        <f t="shared" si="17"/>
        <v>5.5737030584591561E-3</v>
      </c>
      <c r="W78" s="3"/>
      <c r="X78" s="7">
        <f t="shared" si="18"/>
        <v>-16812.84</v>
      </c>
      <c r="Y78" s="3"/>
      <c r="Z78" s="8">
        <f t="shared" si="19"/>
        <v>-0.36494117647058821</v>
      </c>
    </row>
    <row r="79" spans="1:26" s="69" customFormat="1" ht="15" customHeight="1" outlineLevel="1" collapsed="1" x14ac:dyDescent="0.3">
      <c r="A79" s="25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2">
        <f>SUM(OSRRefD22_14x_0)</f>
        <v>0</v>
      </c>
      <c r="E79" s="2"/>
      <c r="F79" s="6">
        <f t="shared" si="12"/>
        <v>0</v>
      </c>
      <c r="G79" s="2"/>
      <c r="H79" s="2">
        <f>SUM(OSRRefH22_14x_0)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SUM(OSRRefP22_14x_0)</f>
        <v>0</v>
      </c>
      <c r="Q79" s="2"/>
      <c r="R79" s="6">
        <f t="shared" si="16"/>
        <v>0</v>
      </c>
      <c r="S79" s="2"/>
      <c r="T79" s="2">
        <f>SUM(OSRRefT22_14x_0)</f>
        <v>795</v>
      </c>
      <c r="U79" s="2"/>
      <c r="V79" s="6">
        <f t="shared" si="17"/>
        <v>9.6181765389082469E-5</v>
      </c>
      <c r="W79" s="2"/>
      <c r="X79" s="2">
        <f t="shared" si="18"/>
        <v>-795</v>
      </c>
      <c r="Y79" s="2"/>
      <c r="Z79" s="6">
        <f t="shared" si="19"/>
        <v>-1</v>
      </c>
    </row>
    <row r="80" spans="1:26" s="70" customFormat="1" ht="15" hidden="1" customHeight="1" outlineLevel="2" x14ac:dyDescent="0.3">
      <c r="A80" s="26"/>
      <c r="B80" s="12" t="str">
        <f>CONCATENATE("          ","6258"," - ","MEMBERSHIP DUES")</f>
        <v xml:space="preserve">          6258 - MEMBERSHIP DUES</v>
      </c>
      <c r="C80" s="12"/>
      <c r="D80" s="7"/>
      <c r="E80" s="3"/>
      <c r="F80" s="8">
        <f t="shared" si="12"/>
        <v>0</v>
      </c>
      <c r="G80" s="3"/>
      <c r="H80" s="7"/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795</v>
      </c>
      <c r="U80" s="3"/>
      <c r="V80" s="8">
        <f t="shared" si="17"/>
        <v>9.6181765389082469E-5</v>
      </c>
      <c r="W80" s="3"/>
      <c r="X80" s="7">
        <f t="shared" si="18"/>
        <v>-795</v>
      </c>
      <c r="Y80" s="3"/>
      <c r="Z80" s="8">
        <f t="shared" si="19"/>
        <v>-1</v>
      </c>
    </row>
    <row r="81" spans="1:26" s="69" customFormat="1" ht="15" customHeight="1" outlineLevel="1" collapsed="1" x14ac:dyDescent="0.3">
      <c r="A81" s="25"/>
      <c r="B81" s="14" t="str">
        <f>CONCATENATE("     ","Supplies                                          ")</f>
        <v xml:space="preserve">     Supplies                                          </v>
      </c>
      <c r="C81" s="14"/>
      <c r="D81" s="2">
        <f>SUM(OSRRefD22_15x_0)</f>
        <v>41614.460000000006</v>
      </c>
      <c r="E81" s="2"/>
      <c r="F81" s="6">
        <f t="shared" si="12"/>
        <v>2.4154745474200143E-2</v>
      </c>
      <c r="G81" s="2"/>
      <c r="H81" s="2">
        <f>SUM(OSRRefH22_15x_0)</f>
        <v>29250</v>
      </c>
      <c r="I81" s="2"/>
      <c r="J81" s="6">
        <f t="shared" si="13"/>
        <v>2.6868386243386243E-2</v>
      </c>
      <c r="K81" s="2"/>
      <c r="L81" s="2">
        <f t="shared" si="14"/>
        <v>12364.460000000006</v>
      </c>
      <c r="M81" s="2"/>
      <c r="N81" s="6">
        <f t="shared" si="15"/>
        <v>0.4227165811965814</v>
      </c>
      <c r="O81" s="14"/>
      <c r="P81" s="2">
        <f>SUM(OSRRefP22_15x_0)</f>
        <v>309175.7</v>
      </c>
      <c r="Q81" s="2"/>
      <c r="R81" s="6">
        <f t="shared" si="16"/>
        <v>2.8297122342705556E-2</v>
      </c>
      <c r="S81" s="2"/>
      <c r="T81" s="2">
        <f>SUM(OSRRefT22_15x_0)</f>
        <v>302600</v>
      </c>
      <c r="U81" s="2"/>
      <c r="V81" s="6">
        <f t="shared" si="17"/>
        <v>3.660956252419667E-2</v>
      </c>
      <c r="W81" s="2"/>
      <c r="X81" s="2">
        <f t="shared" si="18"/>
        <v>6575.7000000000116</v>
      </c>
      <c r="Y81" s="2"/>
      <c r="Z81" s="6">
        <f t="shared" si="19"/>
        <v>2.1730667547918081E-2</v>
      </c>
    </row>
    <row r="82" spans="1:26" s="70" customFormat="1" ht="15" hidden="1" customHeight="1" outlineLevel="2" x14ac:dyDescent="0.3">
      <c r="A82" s="26"/>
      <c r="B82" s="12" t="str">
        <f>CONCATENATE("          ","6234"," - ","EXPENDABLE SUPPLIES &amp; EQUIPMEN")</f>
        <v xml:space="preserve">          6234 - EXPENDABLE SUPPLIES &amp; EQUIPMEN</v>
      </c>
      <c r="C82" s="12"/>
      <c r="D82" s="7"/>
      <c r="E82" s="3"/>
      <c r="F82" s="8">
        <f t="shared" si="12"/>
        <v>0</v>
      </c>
      <c r="G82" s="3"/>
      <c r="H82" s="7">
        <v>342</v>
      </c>
      <c r="I82" s="3"/>
      <c r="J82" s="8">
        <f t="shared" si="13"/>
        <v>3.1415343915343916E-4</v>
      </c>
      <c r="K82" s="3"/>
      <c r="L82" s="7">
        <f t="shared" si="14"/>
        <v>-342</v>
      </c>
      <c r="M82" s="3"/>
      <c r="N82" s="8">
        <f t="shared" si="15"/>
        <v>-1</v>
      </c>
      <c r="O82" s="12"/>
      <c r="P82" s="7">
        <v>336.98</v>
      </c>
      <c r="Q82" s="3"/>
      <c r="R82" s="8">
        <f t="shared" si="16"/>
        <v>3.0841894388999262E-5</v>
      </c>
      <c r="S82" s="3"/>
      <c r="T82" s="7">
        <v>3420</v>
      </c>
      <c r="U82" s="3"/>
      <c r="V82" s="8">
        <f t="shared" si="17"/>
        <v>4.1376306620209062E-4</v>
      </c>
      <c r="W82" s="3"/>
      <c r="X82" s="7">
        <f t="shared" si="18"/>
        <v>-3083.02</v>
      </c>
      <c r="Y82" s="3"/>
      <c r="Z82" s="8">
        <f t="shared" si="19"/>
        <v>-0.90146783625730997</v>
      </c>
    </row>
    <row r="83" spans="1:26" s="70" customFormat="1" ht="15" hidden="1" customHeight="1" outlineLevel="2" x14ac:dyDescent="0.3">
      <c r="A83" s="26"/>
      <c r="B83" s="12" t="str">
        <f>CONCATENATE("          ","6235"," - ","COVID-19 EXPENSES")</f>
        <v xml:space="preserve">          6235 - COVID-19 EXPENSES</v>
      </c>
      <c r="C83" s="12"/>
      <c r="D83" s="7"/>
      <c r="E83" s="3"/>
      <c r="F83" s="8">
        <f t="shared" si="12"/>
        <v>0</v>
      </c>
      <c r="G83" s="3"/>
      <c r="H83" s="7"/>
      <c r="I83" s="3"/>
      <c r="J83" s="8">
        <f t="shared" si="13"/>
        <v>0</v>
      </c>
      <c r="K83" s="3"/>
      <c r="L83" s="7">
        <f t="shared" si="14"/>
        <v>0</v>
      </c>
      <c r="M83" s="3"/>
      <c r="N83" s="8">
        <f t="shared" si="15"/>
        <v>0</v>
      </c>
      <c r="O83" s="12"/>
      <c r="P83" s="7">
        <v>158.76</v>
      </c>
      <c r="Q83" s="3"/>
      <c r="R83" s="8">
        <f t="shared" si="16"/>
        <v>1.4530414722528109E-5</v>
      </c>
      <c r="S83" s="3"/>
      <c r="T83" s="7"/>
      <c r="U83" s="3"/>
      <c r="V83" s="8">
        <f t="shared" si="17"/>
        <v>0</v>
      </c>
      <c r="W83" s="3"/>
      <c r="X83" s="7">
        <f t="shared" si="18"/>
        <v>158.76</v>
      </c>
      <c r="Y83" s="3"/>
      <c r="Z83" s="8">
        <f t="shared" si="19"/>
        <v>0</v>
      </c>
    </row>
    <row r="84" spans="1:26" s="70" customFormat="1" ht="15" hidden="1" customHeight="1" outlineLevel="2" x14ac:dyDescent="0.3">
      <c r="A84" s="26"/>
      <c r="B84" s="12" t="str">
        <f>CONCATENATE("          ","6237"," - ","JANITORIAL SUPPLIES")</f>
        <v xml:space="preserve">          6237 - JANITORIAL SUPPLIES</v>
      </c>
      <c r="C84" s="12"/>
      <c r="D84" s="7">
        <v>22954.52</v>
      </c>
      <c r="E84" s="3"/>
      <c r="F84" s="8">
        <f t="shared" si="12"/>
        <v>1.3323748237570224E-2</v>
      </c>
      <c r="G84" s="3"/>
      <c r="H84" s="7">
        <v>9750</v>
      </c>
      <c r="I84" s="3"/>
      <c r="J84" s="8">
        <f t="shared" si="13"/>
        <v>8.9561287477954148E-3</v>
      </c>
      <c r="K84" s="3"/>
      <c r="L84" s="7">
        <f t="shared" si="14"/>
        <v>13204.52</v>
      </c>
      <c r="M84" s="3"/>
      <c r="N84" s="8">
        <f t="shared" si="15"/>
        <v>1.3543097435897435</v>
      </c>
      <c r="O84" s="12"/>
      <c r="P84" s="7">
        <v>71900.320000000007</v>
      </c>
      <c r="Q84" s="3"/>
      <c r="R84" s="8">
        <f t="shared" si="16"/>
        <v>6.5806340909705359E-3</v>
      </c>
      <c r="S84" s="3"/>
      <c r="T84" s="7">
        <v>100500</v>
      </c>
      <c r="U84" s="3"/>
      <c r="V84" s="8">
        <f t="shared" si="17"/>
        <v>1.2158826945412312E-2</v>
      </c>
      <c r="W84" s="3"/>
      <c r="X84" s="7">
        <f t="shared" si="18"/>
        <v>-28599.679999999993</v>
      </c>
      <c r="Y84" s="3"/>
      <c r="Z84" s="8">
        <f t="shared" si="19"/>
        <v>-0.28457393034825862</v>
      </c>
    </row>
    <row r="85" spans="1:26" s="70" customFormat="1" ht="15" hidden="1" customHeight="1" outlineLevel="2" x14ac:dyDescent="0.3">
      <c r="A85" s="26"/>
      <c r="B85" s="12" t="str">
        <f>CONCATENATE("          ","6239"," - ","KITCHEN SUPPLIES")</f>
        <v xml:space="preserve">          6239 - KITCHEN SUPPLIES</v>
      </c>
      <c r="C85" s="12"/>
      <c r="D85" s="7">
        <v>6379.92</v>
      </c>
      <c r="E85" s="3"/>
      <c r="F85" s="8">
        <f t="shared" si="12"/>
        <v>3.7031681714903655E-3</v>
      </c>
      <c r="G85" s="3"/>
      <c r="H85" s="7">
        <v>3300</v>
      </c>
      <c r="I85" s="3"/>
      <c r="J85" s="8">
        <f t="shared" si="13"/>
        <v>3.0313051146384478E-3</v>
      </c>
      <c r="K85" s="3"/>
      <c r="L85" s="7">
        <f t="shared" si="14"/>
        <v>3079.92</v>
      </c>
      <c r="M85" s="3"/>
      <c r="N85" s="8">
        <f t="shared" si="15"/>
        <v>0.93330909090909098</v>
      </c>
      <c r="O85" s="12"/>
      <c r="P85" s="7">
        <v>35697.85</v>
      </c>
      <c r="Q85" s="3"/>
      <c r="R85" s="8">
        <f t="shared" si="16"/>
        <v>3.2672245225661379E-3</v>
      </c>
      <c r="S85" s="3"/>
      <c r="T85" s="7">
        <v>42100</v>
      </c>
      <c r="U85" s="3"/>
      <c r="V85" s="8">
        <f t="shared" si="17"/>
        <v>5.0933991482771971E-3</v>
      </c>
      <c r="W85" s="3"/>
      <c r="X85" s="7">
        <f t="shared" si="18"/>
        <v>-6402.1500000000015</v>
      </c>
      <c r="Y85" s="3"/>
      <c r="Z85" s="8">
        <f t="shared" si="19"/>
        <v>-0.1520700712589074</v>
      </c>
    </row>
    <row r="86" spans="1:26" s="70" customFormat="1" ht="15" hidden="1" customHeight="1" outlineLevel="2" x14ac:dyDescent="0.3">
      <c r="A86" s="26"/>
      <c r="B86" s="12" t="str">
        <f>CONCATENATE("          ","6241"," - ","OFFICE EXPENSE")</f>
        <v xml:space="preserve">          6241 - OFFICE EXPENSE</v>
      </c>
      <c r="C86" s="12"/>
      <c r="D86" s="7">
        <v>4.41</v>
      </c>
      <c r="E86" s="3"/>
      <c r="F86" s="8">
        <f t="shared" si="12"/>
        <v>2.5597455197357509E-6</v>
      </c>
      <c r="G86" s="3"/>
      <c r="H86" s="7">
        <v>1445</v>
      </c>
      <c r="I86" s="3"/>
      <c r="J86" s="8">
        <f t="shared" si="13"/>
        <v>1.3273442092886537E-3</v>
      </c>
      <c r="K86" s="3"/>
      <c r="L86" s="7">
        <f t="shared" si="14"/>
        <v>-1440.59</v>
      </c>
      <c r="M86" s="3"/>
      <c r="N86" s="8">
        <f t="shared" si="15"/>
        <v>-0.9969480968858131</v>
      </c>
      <c r="O86" s="12"/>
      <c r="P86" s="7">
        <v>16961.34</v>
      </c>
      <c r="Q86" s="3"/>
      <c r="R86" s="8">
        <f t="shared" si="16"/>
        <v>1.5523765712383783E-3</v>
      </c>
      <c r="S86" s="3"/>
      <c r="T86" s="7">
        <v>14450</v>
      </c>
      <c r="U86" s="3"/>
      <c r="V86" s="8">
        <f t="shared" si="17"/>
        <v>1.7482094463801782E-3</v>
      </c>
      <c r="W86" s="3"/>
      <c r="X86" s="7">
        <f t="shared" si="18"/>
        <v>2511.34</v>
      </c>
      <c r="Y86" s="3"/>
      <c r="Z86" s="8">
        <f t="shared" si="19"/>
        <v>0.17379515570934256</v>
      </c>
    </row>
    <row r="87" spans="1:26" s="70" customFormat="1" ht="15" hidden="1" customHeight="1" outlineLevel="2" x14ac:dyDescent="0.3">
      <c r="A87" s="26"/>
      <c r="B87" s="12" t="str">
        <f>CONCATENATE("          ","6243"," - ","PAPER SUPPLIES")</f>
        <v xml:space="preserve">          6243 - PAPER SUPPLIES</v>
      </c>
      <c r="C87" s="12"/>
      <c r="D87" s="7">
        <v>12275.61</v>
      </c>
      <c r="E87" s="3"/>
      <c r="F87" s="8">
        <f t="shared" si="12"/>
        <v>7.1252693196198142E-3</v>
      </c>
      <c r="G87" s="3"/>
      <c r="H87" s="7">
        <v>13300</v>
      </c>
      <c r="I87" s="3"/>
      <c r="J87" s="8">
        <f t="shared" si="13"/>
        <v>1.2217078189300411E-2</v>
      </c>
      <c r="K87" s="3"/>
      <c r="L87" s="7">
        <f t="shared" si="14"/>
        <v>-1024.3899999999994</v>
      </c>
      <c r="M87" s="3"/>
      <c r="N87" s="8">
        <f t="shared" si="15"/>
        <v>-7.7021804511278158E-2</v>
      </c>
      <c r="O87" s="12"/>
      <c r="P87" s="7">
        <v>175883.51</v>
      </c>
      <c r="Q87" s="3"/>
      <c r="R87" s="8">
        <f t="shared" si="16"/>
        <v>1.6097633806714032E-2</v>
      </c>
      <c r="S87" s="3"/>
      <c r="T87" s="7">
        <v>131000</v>
      </c>
      <c r="U87" s="3"/>
      <c r="V87" s="8">
        <f t="shared" si="17"/>
        <v>1.584881920247774E-2</v>
      </c>
      <c r="W87" s="3"/>
      <c r="X87" s="7">
        <f t="shared" si="18"/>
        <v>44883.510000000009</v>
      </c>
      <c r="Y87" s="3"/>
      <c r="Z87" s="8">
        <f t="shared" si="19"/>
        <v>0.34262221374045809</v>
      </c>
    </row>
    <row r="88" spans="1:26" s="70" customFormat="1" ht="15" hidden="1" customHeight="1" outlineLevel="2" x14ac:dyDescent="0.3">
      <c r="A88" s="26"/>
      <c r="B88" s="12" t="str">
        <f>CONCATENATE("          ","6244"," - ","SAFETY SUPPLY EXPENSE")</f>
        <v xml:space="preserve">          6244 - SAFETY SUPPLY EXPENSE</v>
      </c>
      <c r="C88" s="12"/>
      <c r="D88" s="7"/>
      <c r="E88" s="3"/>
      <c r="F88" s="8">
        <f t="shared" si="12"/>
        <v>0</v>
      </c>
      <c r="G88" s="3"/>
      <c r="H88" s="7">
        <v>525</v>
      </c>
      <c r="I88" s="3"/>
      <c r="J88" s="8">
        <f t="shared" si="13"/>
        <v>4.8225308641975306E-4</v>
      </c>
      <c r="K88" s="3"/>
      <c r="L88" s="7">
        <f t="shared" si="14"/>
        <v>-525</v>
      </c>
      <c r="M88" s="3"/>
      <c r="N88" s="8">
        <f t="shared" si="15"/>
        <v>-1</v>
      </c>
      <c r="O88" s="12"/>
      <c r="P88" s="7"/>
      <c r="Q88" s="3"/>
      <c r="R88" s="8">
        <f t="shared" si="16"/>
        <v>0</v>
      </c>
      <c r="S88" s="3"/>
      <c r="T88" s="7">
        <v>5250</v>
      </c>
      <c r="U88" s="3"/>
      <c r="V88" s="8">
        <f t="shared" si="17"/>
        <v>6.3516260162601625E-4</v>
      </c>
      <c r="W88" s="3"/>
      <c r="X88" s="7">
        <f t="shared" si="18"/>
        <v>-5250</v>
      </c>
      <c r="Y88" s="3"/>
      <c r="Z88" s="8">
        <f t="shared" si="19"/>
        <v>-1</v>
      </c>
    </row>
    <row r="89" spans="1:26" s="70" customFormat="1" ht="15" hidden="1" customHeight="1" outlineLevel="2" x14ac:dyDescent="0.3">
      <c r="A89" s="26"/>
      <c r="B89" s="12" t="str">
        <f>CONCATENATE("          ","6247"," - ","STORE SUPPLIES")</f>
        <v xml:space="preserve">          6247 - STORE SUPPLIES</v>
      </c>
      <c r="C89" s="12"/>
      <c r="D89" s="7"/>
      <c r="E89" s="3"/>
      <c r="F89" s="8">
        <f t="shared" si="12"/>
        <v>0</v>
      </c>
      <c r="G89" s="3"/>
      <c r="H89" s="7"/>
      <c r="I89" s="3"/>
      <c r="J89" s="8">
        <f t="shared" si="13"/>
        <v>0</v>
      </c>
      <c r="K89" s="3"/>
      <c r="L89" s="7">
        <f t="shared" si="14"/>
        <v>0</v>
      </c>
      <c r="M89" s="3"/>
      <c r="N89" s="8">
        <f t="shared" si="15"/>
        <v>0</v>
      </c>
      <c r="O89" s="12"/>
      <c r="P89" s="7">
        <v>1693.55</v>
      </c>
      <c r="Q89" s="3"/>
      <c r="R89" s="8">
        <f t="shared" si="16"/>
        <v>1.5500115805831114E-4</v>
      </c>
      <c r="S89" s="3"/>
      <c r="T89" s="7"/>
      <c r="U89" s="3"/>
      <c r="V89" s="8">
        <f t="shared" si="17"/>
        <v>0</v>
      </c>
      <c r="W89" s="3"/>
      <c r="X89" s="7">
        <f t="shared" si="18"/>
        <v>1693.55</v>
      </c>
      <c r="Y89" s="3"/>
      <c r="Z89" s="8">
        <f t="shared" si="19"/>
        <v>0</v>
      </c>
    </row>
    <row r="90" spans="1:26" s="70" customFormat="1" ht="15" hidden="1" customHeight="1" outlineLevel="2" x14ac:dyDescent="0.3">
      <c r="A90" s="26"/>
      <c r="B90" s="12" t="str">
        <f>CONCATENATE("          ","6248"," - ","UNIFORMS")</f>
        <v xml:space="preserve">          6248 - UNIFORMS</v>
      </c>
      <c r="C90" s="12"/>
      <c r="D90" s="7"/>
      <c r="E90" s="3"/>
      <c r="F90" s="8">
        <f t="shared" si="12"/>
        <v>0</v>
      </c>
      <c r="G90" s="3"/>
      <c r="H90" s="7">
        <v>588</v>
      </c>
      <c r="I90" s="3"/>
      <c r="J90" s="8">
        <f t="shared" si="13"/>
        <v>5.4012345679012341E-4</v>
      </c>
      <c r="K90" s="3"/>
      <c r="L90" s="7">
        <f t="shared" si="14"/>
        <v>-588</v>
      </c>
      <c r="M90" s="3"/>
      <c r="N90" s="8">
        <f t="shared" si="15"/>
        <v>-1</v>
      </c>
      <c r="O90" s="12"/>
      <c r="P90" s="7">
        <v>6543.39</v>
      </c>
      <c r="Q90" s="3"/>
      <c r="R90" s="8">
        <f t="shared" si="16"/>
        <v>5.9887988404663144E-4</v>
      </c>
      <c r="S90" s="3"/>
      <c r="T90" s="7">
        <v>5880</v>
      </c>
      <c r="U90" s="3"/>
      <c r="V90" s="8">
        <f t="shared" si="17"/>
        <v>7.1138211382113826E-4</v>
      </c>
      <c r="W90" s="3"/>
      <c r="X90" s="7">
        <f t="shared" si="18"/>
        <v>663.39000000000033</v>
      </c>
      <c r="Y90" s="3"/>
      <c r="Z90" s="8">
        <f t="shared" si="19"/>
        <v>0.11282142857142863</v>
      </c>
    </row>
    <row r="91" spans="1:26" s="69" customFormat="1" ht="15" customHeight="1" outlineLevel="1" collapsed="1" x14ac:dyDescent="0.3">
      <c r="A91" s="25"/>
      <c r="B91" s="14" t="str">
        <f>CONCATENATE("     ","Telephone/Data Lines                              ")</f>
        <v xml:space="preserve">     Telephone/Data Lines                              </v>
      </c>
      <c r="C91" s="14"/>
      <c r="D91" s="2">
        <f>SUM(OSRRefD22_16x_0)</f>
        <v>1184</v>
      </c>
      <c r="E91" s="2"/>
      <c r="F91" s="6">
        <f t="shared" ref="F91:F98" si="20">IF(D$12=0,0,D91/D$12)</f>
        <v>6.8724233455036941E-4</v>
      </c>
      <c r="G91" s="2"/>
      <c r="H91" s="2">
        <f>SUM(OSRRefH22_16x_0)</f>
        <v>601</v>
      </c>
      <c r="I91" s="2"/>
      <c r="J91" s="6">
        <f t="shared" ref="J91:J98" si="21">IF(H$12=0,0,H91/H$12)</f>
        <v>5.5206496178718397E-4</v>
      </c>
      <c r="K91" s="2"/>
      <c r="L91" s="2">
        <f t="shared" ref="L91:L98" si="22">+D91-H91</f>
        <v>583</v>
      </c>
      <c r="M91" s="2"/>
      <c r="N91" s="6">
        <f t="shared" ref="N91:N98" si="23">IF(H91=0,0,L91/H91)</f>
        <v>0.97004991680532449</v>
      </c>
      <c r="O91" s="14"/>
      <c r="P91" s="2">
        <f>SUM(OSRRefP22_16x_0)</f>
        <v>7671.85</v>
      </c>
      <c r="Q91" s="2"/>
      <c r="R91" s="6">
        <f t="shared" ref="R91:R98" si="24">IF(P$12=0,0,P91/P$12)</f>
        <v>7.0216151542597173E-4</v>
      </c>
      <c r="S91" s="2"/>
      <c r="T91" s="2">
        <f>SUM(OSRRefT22_16x_0)</f>
        <v>6010</v>
      </c>
      <c r="U91" s="2"/>
      <c r="V91" s="6">
        <f t="shared" ref="V91:V98" si="25">IF(T$12=0,0,T91/T$12)</f>
        <v>7.2710994967092532E-4</v>
      </c>
      <c r="W91" s="2"/>
      <c r="X91" s="2">
        <f t="shared" ref="X91:X98" si="26">+P91-T91</f>
        <v>1661.8500000000004</v>
      </c>
      <c r="Y91" s="2"/>
      <c r="Z91" s="6">
        <f t="shared" ref="Z91:Z98" si="27">IF(T91=0,0,X91/T91)</f>
        <v>0.27651414309484201</v>
      </c>
    </row>
    <row r="92" spans="1:26" s="70" customFormat="1" ht="15" hidden="1" customHeight="1" outlineLevel="2" x14ac:dyDescent="0.3">
      <c r="A92" s="26"/>
      <c r="B92" s="12" t="str">
        <f>CONCATENATE("          ","6303"," - ","DATA PHONE LINES")</f>
        <v xml:space="preserve">          6303 - DATA PHONE LINES</v>
      </c>
      <c r="C92" s="12"/>
      <c r="D92" s="7"/>
      <c r="E92" s="3"/>
      <c r="F92" s="8">
        <f t="shared" si="20"/>
        <v>0</v>
      </c>
      <c r="G92" s="3"/>
      <c r="H92" s="7">
        <v>58</v>
      </c>
      <c r="I92" s="3"/>
      <c r="J92" s="8">
        <f t="shared" si="21"/>
        <v>5.3277483833039387E-5</v>
      </c>
      <c r="K92" s="3"/>
      <c r="L92" s="7">
        <f t="shared" si="22"/>
        <v>-58</v>
      </c>
      <c r="M92" s="3"/>
      <c r="N92" s="8">
        <f t="shared" si="23"/>
        <v>-1</v>
      </c>
      <c r="O92" s="12"/>
      <c r="P92" s="7"/>
      <c r="Q92" s="3"/>
      <c r="R92" s="8">
        <f t="shared" si="24"/>
        <v>0</v>
      </c>
      <c r="S92" s="3"/>
      <c r="T92" s="7">
        <v>580</v>
      </c>
      <c r="U92" s="3"/>
      <c r="V92" s="8">
        <f t="shared" si="25"/>
        <v>7.0170344560588463E-5</v>
      </c>
      <c r="W92" s="3"/>
      <c r="X92" s="7">
        <f t="shared" si="26"/>
        <v>-580</v>
      </c>
      <c r="Y92" s="3"/>
      <c r="Z92" s="8">
        <f t="shared" si="27"/>
        <v>-1</v>
      </c>
    </row>
    <row r="93" spans="1:26" s="70" customFormat="1" ht="15" hidden="1" customHeight="1" outlineLevel="2" x14ac:dyDescent="0.3">
      <c r="A93" s="26"/>
      <c r="B93" s="12" t="str">
        <f>CONCATENATE("          ","6309"," - ","TELEPHONE")</f>
        <v xml:space="preserve">          6309 - TELEPHONE</v>
      </c>
      <c r="C93" s="12"/>
      <c r="D93" s="7">
        <v>1184</v>
      </c>
      <c r="E93" s="3"/>
      <c r="F93" s="8">
        <f t="shared" si="20"/>
        <v>6.8724233455036941E-4</v>
      </c>
      <c r="G93" s="3"/>
      <c r="H93" s="7">
        <v>543</v>
      </c>
      <c r="I93" s="3"/>
      <c r="J93" s="8">
        <f t="shared" si="21"/>
        <v>4.9878747795414457E-4</v>
      </c>
      <c r="K93" s="3"/>
      <c r="L93" s="7">
        <f t="shared" si="22"/>
        <v>641</v>
      </c>
      <c r="M93" s="3"/>
      <c r="N93" s="8">
        <f t="shared" si="23"/>
        <v>1.1804788213627992</v>
      </c>
      <c r="O93" s="12"/>
      <c r="P93" s="7">
        <v>7671.85</v>
      </c>
      <c r="Q93" s="3"/>
      <c r="R93" s="8">
        <f t="shared" si="24"/>
        <v>7.0216151542597173E-4</v>
      </c>
      <c r="S93" s="3"/>
      <c r="T93" s="7">
        <v>5430</v>
      </c>
      <c r="U93" s="3"/>
      <c r="V93" s="8">
        <f t="shared" si="25"/>
        <v>6.5693960511033678E-4</v>
      </c>
      <c r="W93" s="3"/>
      <c r="X93" s="7">
        <f t="shared" si="26"/>
        <v>2241.8500000000004</v>
      </c>
      <c r="Y93" s="3"/>
      <c r="Z93" s="8">
        <f t="shared" si="27"/>
        <v>0.4128637200736649</v>
      </c>
    </row>
    <row r="94" spans="1:26" s="69" customFormat="1" ht="15" customHeight="1" outlineLevel="1" collapsed="1" x14ac:dyDescent="0.3">
      <c r="A94" s="25"/>
      <c r="B94" s="14" t="str">
        <f>CONCATENATE("     ","Training                                          ")</f>
        <v xml:space="preserve">     Training                                          </v>
      </c>
      <c r="C94" s="14"/>
      <c r="D94" s="2">
        <f>SUM(OSRRefD22_17x_0)</f>
        <v>936</v>
      </c>
      <c r="E94" s="2"/>
      <c r="F94" s="6">
        <f t="shared" si="20"/>
        <v>5.4329292663779201E-4</v>
      </c>
      <c r="G94" s="2"/>
      <c r="H94" s="2">
        <f>SUM(OSRRefH22_17x_0)</f>
        <v>615</v>
      </c>
      <c r="I94" s="2"/>
      <c r="J94" s="6">
        <f t="shared" si="21"/>
        <v>5.6492504409171073E-4</v>
      </c>
      <c r="K94" s="2"/>
      <c r="L94" s="2">
        <f t="shared" si="22"/>
        <v>321</v>
      </c>
      <c r="M94" s="2"/>
      <c r="N94" s="6">
        <f t="shared" si="23"/>
        <v>0.52195121951219514</v>
      </c>
      <c r="O94" s="14"/>
      <c r="P94" s="2">
        <f>SUM(OSRRefP22_17x_0)</f>
        <v>8794.9699999999993</v>
      </c>
      <c r="Q94" s="2"/>
      <c r="R94" s="6">
        <f t="shared" si="24"/>
        <v>8.0495440647639852E-4</v>
      </c>
      <c r="S94" s="2"/>
      <c r="T94" s="2">
        <f>SUM(OSRRefT22_17x_0)</f>
        <v>7370</v>
      </c>
      <c r="U94" s="2"/>
      <c r="V94" s="6">
        <f t="shared" si="25"/>
        <v>8.916473093302362E-4</v>
      </c>
      <c r="W94" s="2"/>
      <c r="X94" s="2">
        <f t="shared" si="26"/>
        <v>1424.9699999999993</v>
      </c>
      <c r="Y94" s="2"/>
      <c r="Z94" s="6">
        <f t="shared" si="27"/>
        <v>0.19334735413839882</v>
      </c>
    </row>
    <row r="95" spans="1:26" s="70" customFormat="1" ht="15" hidden="1" customHeight="1" outlineLevel="2" x14ac:dyDescent="0.3">
      <c r="A95" s="26"/>
      <c r="B95" s="12" t="str">
        <f>CONCATENATE("          ","6376"," - ","TRAINING")</f>
        <v xml:space="preserve">          6376 - TRAINING</v>
      </c>
      <c r="C95" s="12"/>
      <c r="D95" s="7">
        <v>936</v>
      </c>
      <c r="E95" s="3"/>
      <c r="F95" s="8">
        <f t="shared" si="20"/>
        <v>5.4329292663779201E-4</v>
      </c>
      <c r="G95" s="3"/>
      <c r="H95" s="7">
        <v>615</v>
      </c>
      <c r="I95" s="3"/>
      <c r="J95" s="8">
        <f t="shared" si="21"/>
        <v>5.6492504409171073E-4</v>
      </c>
      <c r="K95" s="3"/>
      <c r="L95" s="7">
        <f t="shared" si="22"/>
        <v>321</v>
      </c>
      <c r="M95" s="3"/>
      <c r="N95" s="8">
        <f t="shared" si="23"/>
        <v>0.52195121951219514</v>
      </c>
      <c r="O95" s="12"/>
      <c r="P95" s="7">
        <v>8794.9699999999993</v>
      </c>
      <c r="Q95" s="3"/>
      <c r="R95" s="8">
        <f t="shared" si="24"/>
        <v>8.0495440647639852E-4</v>
      </c>
      <c r="S95" s="3"/>
      <c r="T95" s="7">
        <v>7370</v>
      </c>
      <c r="U95" s="3"/>
      <c r="V95" s="8">
        <f t="shared" si="25"/>
        <v>8.916473093302362E-4</v>
      </c>
      <c r="W95" s="3"/>
      <c r="X95" s="7">
        <f t="shared" si="26"/>
        <v>1424.9699999999993</v>
      </c>
      <c r="Y95" s="3"/>
      <c r="Z95" s="8">
        <f t="shared" si="27"/>
        <v>0.19334735413839882</v>
      </c>
    </row>
    <row r="96" spans="1:26" s="69" customFormat="1" ht="15" customHeight="1" outlineLevel="1" collapsed="1" x14ac:dyDescent="0.3">
      <c r="A96" s="25"/>
      <c r="B96" s="14" t="str">
        <f>CONCATENATE("     ","Travel                                            ")</f>
        <v xml:space="preserve">     Travel                                            </v>
      </c>
      <c r="C96" s="14"/>
      <c r="D96" s="2">
        <f>SUM(OSRRefD22_18x_0)</f>
        <v>0</v>
      </c>
      <c r="E96" s="2"/>
      <c r="F96" s="6">
        <f t="shared" si="20"/>
        <v>0</v>
      </c>
      <c r="G96" s="2"/>
      <c r="H96" s="2">
        <f>SUM(OSRRefH22_18x_0)</f>
        <v>0</v>
      </c>
      <c r="I96" s="2"/>
      <c r="J96" s="6">
        <f t="shared" si="21"/>
        <v>0</v>
      </c>
      <c r="K96" s="2"/>
      <c r="L96" s="2">
        <f t="shared" si="22"/>
        <v>0</v>
      </c>
      <c r="M96" s="2"/>
      <c r="N96" s="6">
        <f t="shared" si="23"/>
        <v>0</v>
      </c>
      <c r="O96" s="14"/>
      <c r="P96" s="2">
        <f>SUM(OSRRefP22_18x_0)</f>
        <v>834.04</v>
      </c>
      <c r="Q96" s="2"/>
      <c r="R96" s="6">
        <f t="shared" si="24"/>
        <v>7.633501571666253E-5</v>
      </c>
      <c r="S96" s="2"/>
      <c r="T96" s="2">
        <f>SUM(OSRRefT22_18x_0)</f>
        <v>0</v>
      </c>
      <c r="U96" s="2"/>
      <c r="V96" s="6">
        <f t="shared" si="25"/>
        <v>0</v>
      </c>
      <c r="W96" s="2"/>
      <c r="X96" s="2">
        <f t="shared" si="26"/>
        <v>834.04</v>
      </c>
      <c r="Y96" s="2"/>
      <c r="Z96" s="6">
        <f t="shared" si="27"/>
        <v>0</v>
      </c>
    </row>
    <row r="97" spans="1:26" s="70" customFormat="1" ht="15" hidden="1" customHeight="1" outlineLevel="2" x14ac:dyDescent="0.3">
      <c r="A97" s="26"/>
      <c r="B97" s="12" t="str">
        <f>CONCATENATE("          ","6292"," - ","TRAVEL/CONFERENCE")</f>
        <v xml:space="preserve">          6292 - TRAVEL/CONFERENCE</v>
      </c>
      <c r="C97" s="12"/>
      <c r="D97" s="7"/>
      <c r="E97" s="3"/>
      <c r="F97" s="8">
        <f t="shared" si="20"/>
        <v>0</v>
      </c>
      <c r="G97" s="3"/>
      <c r="H97" s="7"/>
      <c r="I97" s="3"/>
      <c r="J97" s="8">
        <f t="shared" si="21"/>
        <v>0</v>
      </c>
      <c r="K97" s="3"/>
      <c r="L97" s="7">
        <f t="shared" si="22"/>
        <v>0</v>
      </c>
      <c r="M97" s="3"/>
      <c r="N97" s="8">
        <f t="shared" si="23"/>
        <v>0</v>
      </c>
      <c r="O97" s="12"/>
      <c r="P97" s="7">
        <v>595</v>
      </c>
      <c r="Q97" s="3"/>
      <c r="R97" s="8">
        <f t="shared" si="24"/>
        <v>5.4457021667323159E-5</v>
      </c>
      <c r="S97" s="3"/>
      <c r="T97" s="7"/>
      <c r="U97" s="3"/>
      <c r="V97" s="8">
        <f t="shared" si="25"/>
        <v>0</v>
      </c>
      <c r="W97" s="3"/>
      <c r="X97" s="7">
        <f t="shared" si="26"/>
        <v>595</v>
      </c>
      <c r="Y97" s="3"/>
      <c r="Z97" s="8">
        <f t="shared" si="27"/>
        <v>0</v>
      </c>
    </row>
    <row r="98" spans="1:26" s="70" customFormat="1" ht="15" hidden="1" customHeight="1" outlineLevel="2" x14ac:dyDescent="0.3">
      <c r="A98" s="26"/>
      <c r="B98" s="12" t="str">
        <f>CONCATENATE("          ","6298"," - ","VEHICLE MILEAGE")</f>
        <v xml:space="preserve">          6298 - VEHICLE MILEAGE</v>
      </c>
      <c r="C98" s="12"/>
      <c r="D98" s="7"/>
      <c r="E98" s="3"/>
      <c r="F98" s="8">
        <f t="shared" si="20"/>
        <v>0</v>
      </c>
      <c r="G98" s="3"/>
      <c r="H98" s="7"/>
      <c r="I98" s="3"/>
      <c r="J98" s="8">
        <f t="shared" si="21"/>
        <v>0</v>
      </c>
      <c r="K98" s="3"/>
      <c r="L98" s="7">
        <f t="shared" si="22"/>
        <v>0</v>
      </c>
      <c r="M98" s="3"/>
      <c r="N98" s="8">
        <f t="shared" si="23"/>
        <v>0</v>
      </c>
      <c r="O98" s="12"/>
      <c r="P98" s="7">
        <v>239.04</v>
      </c>
      <c r="Q98" s="3"/>
      <c r="R98" s="8">
        <f t="shared" si="24"/>
        <v>2.1877994049339374E-5</v>
      </c>
      <c r="S98" s="3"/>
      <c r="T98" s="7"/>
      <c r="U98" s="3"/>
      <c r="V98" s="8">
        <f t="shared" si="25"/>
        <v>0</v>
      </c>
      <c r="W98" s="3"/>
      <c r="X98" s="7">
        <f t="shared" si="26"/>
        <v>239.04</v>
      </c>
      <c r="Y98" s="3"/>
      <c r="Z98" s="8">
        <f t="shared" si="27"/>
        <v>0</v>
      </c>
    </row>
    <row r="99" spans="1:26" s="65" customFormat="1" ht="15" customHeight="1" x14ac:dyDescent="0.3">
      <c r="A99" s="35"/>
      <c r="B99" s="35"/>
      <c r="C99" s="35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O99" s="35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63" customFormat="1" ht="15" customHeight="1" x14ac:dyDescent="0.3">
      <c r="A100" s="11"/>
      <c r="B100" s="28" t="s">
        <v>291</v>
      </c>
      <c r="C100" s="11"/>
      <c r="D100" s="5">
        <f>SUM(0)</f>
        <v>0</v>
      </c>
      <c r="E100" s="5"/>
      <c r="F100" s="13">
        <f>IF(D$12=0,0,D100/D$12)</f>
        <v>0</v>
      </c>
      <c r="G100" s="5"/>
      <c r="H100" s="5">
        <f>SUM(0)</f>
        <v>0</v>
      </c>
      <c r="I100" s="5"/>
      <c r="J100" s="13">
        <f>IF(H$12=0,0,H100/H$12)</f>
        <v>0</v>
      </c>
      <c r="K100" s="5"/>
      <c r="L100" s="5">
        <f>+D100-H100</f>
        <v>0</v>
      </c>
      <c r="M100" s="5"/>
      <c r="N100" s="13">
        <f>IF(H100=0,0,L100/H100)</f>
        <v>0</v>
      </c>
      <c r="O100" s="11"/>
      <c r="P100" s="5">
        <f>SUM(0)</f>
        <v>0</v>
      </c>
      <c r="Q100" s="5"/>
      <c r="R100" s="13">
        <f>IF(P$12=0,0,P100/P$12)</f>
        <v>0</v>
      </c>
      <c r="S100" s="5"/>
      <c r="T100" s="5">
        <f>SUM(0)</f>
        <v>0</v>
      </c>
      <c r="U100" s="5"/>
      <c r="V100" s="13">
        <f>IF(T$12=0,0,T100/T$12)</f>
        <v>0</v>
      </c>
      <c r="W100" s="5"/>
      <c r="X100" s="5">
        <f>+P100-T100</f>
        <v>0</v>
      </c>
      <c r="Y100" s="5"/>
      <c r="Z100" s="13">
        <f>IF(T100=0,0,X100/T100)</f>
        <v>0</v>
      </c>
    </row>
    <row r="101" spans="1:26" ht="15" customHeight="1" x14ac:dyDescent="0.3">
      <c r="A101" s="10"/>
      <c r="B101" s="11"/>
      <c r="C101" s="11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O101" s="11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3">
      <c r="A102" s="11"/>
      <c r="B102" s="27" t="s">
        <v>292</v>
      </c>
      <c r="C102" s="27"/>
      <c r="D102" s="21">
        <f>+D25-D27+D100</f>
        <v>755595.65000000014</v>
      </c>
      <c r="E102" s="15"/>
      <c r="F102" s="23">
        <f>IF(D$12=0,0,D102/D$12)</f>
        <v>0.43857881628556072</v>
      </c>
      <c r="G102" s="15"/>
      <c r="H102" s="21">
        <f>+H25-H27+H100</f>
        <v>180723.98170341738</v>
      </c>
      <c r="I102" s="15"/>
      <c r="J102" s="23">
        <f>IF(H$12=0,0,H102/H$12)</f>
        <v>0.16600894850769526</v>
      </c>
      <c r="K102" s="17"/>
      <c r="L102" s="21">
        <f>+D102-H102</f>
        <v>574871.66829658276</v>
      </c>
      <c r="M102" s="17"/>
      <c r="N102" s="23">
        <f>IF(H102=0,0,L102/H102)</f>
        <v>3.1809373768667486</v>
      </c>
      <c r="O102" s="28"/>
      <c r="P102" s="21">
        <f>+P25-P27+P100</f>
        <v>3578994.6400000034</v>
      </c>
      <c r="Q102" s="15"/>
      <c r="R102" s="23">
        <f>IF(P$12=0,0,P102/P$12)</f>
        <v>0.32756535908859435</v>
      </c>
      <c r="S102" s="15"/>
      <c r="T102" s="21">
        <f>+T25-T27+T100</f>
        <v>740760.53631937318</v>
      </c>
      <c r="U102" s="15"/>
      <c r="V102" s="23">
        <f>IF(T$12=0,0,T102/T$12)</f>
        <v>8.9619693224856412E-2</v>
      </c>
      <c r="W102" s="17"/>
      <c r="X102" s="21">
        <f>+P102-T102</f>
        <v>2838234.1036806302</v>
      </c>
      <c r="Y102" s="17"/>
      <c r="Z102" s="23">
        <f>IF(T102=0,0,X102/T102)</f>
        <v>3.831513646478796</v>
      </c>
    </row>
    <row r="103" spans="1:26" ht="15" customHeight="1" x14ac:dyDescent="0.3">
      <c r="A103" s="10"/>
      <c r="B103" s="11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49"/>
      <c r="B104" s="11" t="s">
        <v>293</v>
      </c>
      <c r="C104" s="11"/>
      <c r="D104" s="5">
        <v>139363.31</v>
      </c>
      <c r="E104" s="5"/>
      <c r="F104" s="13">
        <f>IF(D$12=0,0,D104/D$12)</f>
        <v>8.0892201448536177E-2</v>
      </c>
      <c r="G104" s="5"/>
      <c r="H104" s="5">
        <v>142767</v>
      </c>
      <c r="I104" s="5"/>
      <c r="J104" s="13">
        <f>IF(H$12=0,0,H104/H$12)</f>
        <v>0.13114252645502644</v>
      </c>
      <c r="K104" s="5"/>
      <c r="L104" s="5">
        <f>+D104-H104</f>
        <v>-3403.6900000000023</v>
      </c>
      <c r="M104" s="5"/>
      <c r="N104" s="13">
        <f>IF(H104=0,0,L104/H104)</f>
        <v>-2.3840873591236086E-2</v>
      </c>
      <c r="O104" s="11"/>
      <c r="P104" s="5">
        <v>1237745.04</v>
      </c>
      <c r="Q104" s="5"/>
      <c r="R104" s="13">
        <f>IF(P$12=0,0,P104/P$12)</f>
        <v>0.11328387976790213</v>
      </c>
      <c r="S104" s="5"/>
      <c r="T104" s="5">
        <v>1016788</v>
      </c>
      <c r="U104" s="5"/>
      <c r="V104" s="13">
        <f>IF(T$12=0,0,T104/T$12)</f>
        <v>0.12301442121564073</v>
      </c>
      <c r="W104" s="5"/>
      <c r="X104" s="5">
        <f>+P104-T104</f>
        <v>220957.04000000004</v>
      </c>
      <c r="Y104" s="5"/>
      <c r="Z104" s="13">
        <f>IF(T104=0,0,X104/T104)</f>
        <v>0.21730885887717011</v>
      </c>
    </row>
    <row r="105" spans="1:26" ht="15" customHeight="1" x14ac:dyDescent="0.3">
      <c r="A105" s="10"/>
      <c r="B105" s="11"/>
      <c r="C105" s="11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O105" s="11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3" customFormat="1" ht="15" customHeight="1" x14ac:dyDescent="0.3">
      <c r="A106" s="11"/>
      <c r="B106" s="27" t="s">
        <v>294</v>
      </c>
      <c r="C106" s="27"/>
      <c r="D106" s="29">
        <f>+D102-D104</f>
        <v>616232.34000000008</v>
      </c>
      <c r="E106" s="15"/>
      <c r="F106" s="30">
        <f>IF(D$12=0,0,D106/D$12)</f>
        <v>0.35768661483702452</v>
      </c>
      <c r="G106" s="15"/>
      <c r="H106" s="29">
        <f>+H102-H104</f>
        <v>37956.981703417376</v>
      </c>
      <c r="I106" s="15"/>
      <c r="J106" s="30">
        <f>IF(H$12=0,0,H106/H$12)</f>
        <v>3.4866422052668815E-2</v>
      </c>
      <c r="K106" s="17"/>
      <c r="L106" s="29">
        <f>D106-H106</f>
        <v>578275.35829658271</v>
      </c>
      <c r="M106" s="17"/>
      <c r="N106" s="30">
        <f>IF(H106=0,0,L106/H106)</f>
        <v>15.235019549631865</v>
      </c>
      <c r="O106" s="28"/>
      <c r="P106" s="29">
        <f>+P102-P104</f>
        <v>2341249.6000000034</v>
      </c>
      <c r="Q106" s="15"/>
      <c r="R106" s="30">
        <f>IF(P$12=0,0,P106/P$12)</f>
        <v>0.21428147932069222</v>
      </c>
      <c r="S106" s="15"/>
      <c r="T106" s="29">
        <f>+T102-T104</f>
        <v>-276027.46368062682</v>
      </c>
      <c r="U106" s="15"/>
      <c r="V106" s="30">
        <f>IF(T$12=0,0,T106/T$12)</f>
        <v>-3.3394727990784315E-2</v>
      </c>
      <c r="W106" s="17"/>
      <c r="X106" s="29">
        <f>P106-T106</f>
        <v>2617277.0636806302</v>
      </c>
      <c r="Y106" s="17"/>
      <c r="Z106" s="30">
        <f>IF(T106=0,0,X106/T106)</f>
        <v>-9.4819444006807565</v>
      </c>
    </row>
    <row r="107" spans="1:26" ht="15" customHeight="1" x14ac:dyDescent="0.3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ht="15" customHeight="1" x14ac:dyDescent="0.3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s="63" customFormat="1" ht="15" customHeight="1" x14ac:dyDescent="0.3">
      <c r="A109" s="11"/>
      <c r="B109" s="27" t="s">
        <v>297</v>
      </c>
      <c r="C109" s="27"/>
      <c r="D109" s="32">
        <f>SUM(D106:D108)</f>
        <v>616232.34000000008</v>
      </c>
      <c r="E109" s="15"/>
      <c r="F109" s="34">
        <f>IF(D$12=0,0,D109/D$12)</f>
        <v>0.35768661483702452</v>
      </c>
      <c r="G109" s="15"/>
      <c r="H109" s="32">
        <f>SUM(H106:H108)</f>
        <v>37956.981703417376</v>
      </c>
      <c r="I109" s="15"/>
      <c r="J109" s="34">
        <f>IF(H$12=0,0,H109/H$12)</f>
        <v>3.4866422052668815E-2</v>
      </c>
      <c r="K109" s="17"/>
      <c r="L109" s="32">
        <f>+D109-H109</f>
        <v>578275.35829658271</v>
      </c>
      <c r="M109" s="17"/>
      <c r="N109" s="34">
        <f>IF(H109=0,0,L109/H109)</f>
        <v>15.235019549631865</v>
      </c>
      <c r="O109" s="28"/>
      <c r="P109" s="32">
        <f>SUM(P106:P108)</f>
        <v>2341249.6000000034</v>
      </c>
      <c r="Q109" s="15"/>
      <c r="R109" s="34">
        <f>IF(P$12=0,0,P109/P$12)</f>
        <v>0.21428147932069222</v>
      </c>
      <c r="S109" s="15"/>
      <c r="T109" s="32">
        <f>SUM(T106:T108)</f>
        <v>-276027.46368062682</v>
      </c>
      <c r="U109" s="15"/>
      <c r="V109" s="34">
        <f>IF(T$12=0,0,T109/T$12)</f>
        <v>-3.3394727990784315E-2</v>
      </c>
      <c r="W109" s="17"/>
      <c r="X109" s="32">
        <f>+P109-T109</f>
        <v>2617277.0636806302</v>
      </c>
      <c r="Y109" s="17"/>
      <c r="Z109" s="34">
        <f>IF(T109=0,0,X109/T109)</f>
        <v>-9.4819444006807565</v>
      </c>
    </row>
    <row r="110" spans="1:26" ht="15" customHeight="1" x14ac:dyDescent="0.3">
      <c r="A110" s="10"/>
      <c r="C110" s="10"/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A111" s="10"/>
      <c r="B111" s="56">
        <v>44694.888515856481</v>
      </c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  <row r="112" spans="1:26" ht="15" customHeight="1" x14ac:dyDescent="0.3">
      <c r="A112" s="10"/>
      <c r="B112" s="50" t="s">
        <v>298</v>
      </c>
      <c r="D112" s="19"/>
      <c r="E112" s="19"/>
      <c r="G112" s="19"/>
      <c r="H112" s="19"/>
      <c r="I112" s="19"/>
      <c r="J112" s="40"/>
      <c r="K112" s="19"/>
      <c r="L112" s="19"/>
      <c r="M112" s="19"/>
      <c r="P112" s="19"/>
      <c r="Q112" s="19"/>
      <c r="R112" s="40"/>
      <c r="S112" s="19"/>
      <c r="T112" s="19"/>
      <c r="U112" s="19"/>
      <c r="V112" s="40"/>
      <c r="W112" s="19"/>
      <c r="X112" s="19"/>
    </row>
    <row r="113" spans="1:24" ht="15" customHeight="1" x14ac:dyDescent="0.3">
      <c r="A113" s="10"/>
      <c r="B113" s="51"/>
      <c r="D113" s="19"/>
      <c r="E113" s="19"/>
      <c r="G113" s="19"/>
      <c r="H113" s="19"/>
      <c r="I113" s="19"/>
      <c r="J113" s="40"/>
      <c r="K113" s="19"/>
      <c r="L113" s="19"/>
      <c r="M113" s="19"/>
      <c r="P113" s="19"/>
      <c r="Q113" s="19"/>
      <c r="R113" s="40"/>
      <c r="S113" s="19"/>
      <c r="T113" s="19"/>
      <c r="U113" s="19"/>
      <c r="V113" s="40"/>
      <c r="W113" s="19"/>
      <c r="X113" s="19"/>
    </row>
    <row r="114" spans="1:24" ht="15" customHeight="1" x14ac:dyDescent="0.3">
      <c r="D114" s="19"/>
      <c r="E114" s="19"/>
      <c r="G114" s="19"/>
      <c r="H114" s="19"/>
      <c r="I114" s="19"/>
      <c r="J114" s="40"/>
      <c r="K114" s="19"/>
      <c r="L114" s="19"/>
      <c r="M114" s="19"/>
      <c r="P114" s="19"/>
      <c r="Q114" s="19"/>
      <c r="R114" s="40"/>
      <c r="S114" s="19"/>
      <c r="T114" s="19"/>
      <c r="U114" s="19"/>
      <c r="V114" s="40"/>
      <c r="W114" s="19"/>
      <c r="X11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55078-8E3E-FC26-C867-8CD2FFD6A51D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","430"," - ","Res Hall Management")</f>
        <v>Department 430 - Res Hall Management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7"/>
      <c r="L16" s="21">
        <f>+D16-H16</f>
        <v>0</v>
      </c>
      <c r="M16" s="17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7"/>
      <c r="X16" s="21">
        <f>+P16-T16</f>
        <v>0</v>
      </c>
      <c r="Y16" s="17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20612.510000000002</v>
      </c>
      <c r="E18" s="22"/>
      <c r="F18" s="33">
        <f t="shared" ref="F18:F55" si="0">IF(D$12=0,0,D18/D$12)</f>
        <v>0</v>
      </c>
      <c r="G18" s="22"/>
      <c r="H18" s="22" cm="1">
        <f t="array" ref="H18">SUM(OSRRefH22x_0)</f>
        <v>20271.289565250001</v>
      </c>
      <c r="I18" s="22"/>
      <c r="J18" s="33">
        <f t="shared" ref="J18:J55" si="1">IF(H$12=0,0,H18/H$12)</f>
        <v>0</v>
      </c>
      <c r="K18" s="5"/>
      <c r="L18" s="22">
        <f t="shared" ref="L18:L55" si="2">+D18-H18</f>
        <v>341.220434750001</v>
      </c>
      <c r="M18" s="5"/>
      <c r="N18" s="33">
        <f t="shared" ref="N18:N55" si="3">IF(H18=0,0,L18/H18)</f>
        <v>1.6832695011911682E-2</v>
      </c>
      <c r="O18" s="11"/>
      <c r="P18" s="22" cm="1">
        <f t="array" ref="P18">SUM(OSRRefP22x_0)</f>
        <v>202289.12</v>
      </c>
      <c r="Q18" s="22"/>
      <c r="R18" s="33">
        <f t="shared" ref="R18:R55" si="4">IF(P$12=0,0,P18/P$12)</f>
        <v>0</v>
      </c>
      <c r="S18" s="22"/>
      <c r="T18" s="22" cm="1">
        <f t="array" ref="T18">SUM(OSRRefT22x_0)</f>
        <v>183969.15674489998</v>
      </c>
      <c r="U18" s="22"/>
      <c r="V18" s="33">
        <f t="shared" ref="V18:V55" si="5">IF(T$12=0,0,T18/T$12)</f>
        <v>0</v>
      </c>
      <c r="W18" s="5"/>
      <c r="X18" s="22">
        <f t="shared" ref="X18:X55" si="6">+P18-T18</f>
        <v>18319.96325510001</v>
      </c>
      <c r="Y18" s="5"/>
      <c r="Z18" s="33">
        <f t="shared" ref="Z18:Z55" si="7">IF(T18=0,0,X18/T18)</f>
        <v>9.9581710212996777E-2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6490.3200000000006</v>
      </c>
      <c r="E19" s="2"/>
      <c r="F19" s="6">
        <f t="shared" si="0"/>
        <v>0</v>
      </c>
      <c r="G19" s="2"/>
      <c r="H19" s="2">
        <f>SUM(OSRRefH22_0x_0)</f>
        <v>4889.5358152499994</v>
      </c>
      <c r="I19" s="2"/>
      <c r="J19" s="6">
        <f t="shared" si="1"/>
        <v>0</v>
      </c>
      <c r="K19" s="2"/>
      <c r="L19" s="2">
        <f t="shared" si="2"/>
        <v>1600.7841847500013</v>
      </c>
      <c r="M19" s="2"/>
      <c r="N19" s="6">
        <f t="shared" si="3"/>
        <v>0.32738980656554489</v>
      </c>
      <c r="O19" s="14"/>
      <c r="P19" s="2">
        <f>SUM(OSRRefP22_0x_0)</f>
        <v>60688.069999999992</v>
      </c>
      <c r="Q19" s="2"/>
      <c r="R19" s="6">
        <f t="shared" si="4"/>
        <v>0</v>
      </c>
      <c r="S19" s="2"/>
      <c r="T19" s="2">
        <f>SUM(OSRRefT22_0x_0)</f>
        <v>44959.193244900001</v>
      </c>
      <c r="U19" s="2"/>
      <c r="V19" s="6">
        <f t="shared" si="5"/>
        <v>0</v>
      </c>
      <c r="W19" s="2"/>
      <c r="X19" s="2">
        <f t="shared" si="6"/>
        <v>15728.876755099991</v>
      </c>
      <c r="Y19" s="2"/>
      <c r="Z19" s="6">
        <f t="shared" si="7"/>
        <v>0.34984784245175959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1080.71</v>
      </c>
      <c r="E20" s="3"/>
      <c r="F20" s="8">
        <f t="shared" si="0"/>
        <v>0</v>
      </c>
      <c r="G20" s="3"/>
      <c r="H20" s="7">
        <v>882.65301524999995</v>
      </c>
      <c r="I20" s="3"/>
      <c r="J20" s="8">
        <f t="shared" si="1"/>
        <v>0</v>
      </c>
      <c r="K20" s="3"/>
      <c r="L20" s="7">
        <f t="shared" si="2"/>
        <v>198.05698475000008</v>
      </c>
      <c r="M20" s="3"/>
      <c r="N20" s="8">
        <f t="shared" si="3"/>
        <v>0.22438827186683663</v>
      </c>
      <c r="O20" s="12"/>
      <c r="P20" s="7">
        <v>7792.71</v>
      </c>
      <c r="Q20" s="3"/>
      <c r="R20" s="8">
        <f t="shared" si="4"/>
        <v>0</v>
      </c>
      <c r="S20" s="3"/>
      <c r="T20" s="7">
        <v>7633.6631649000001</v>
      </c>
      <c r="U20" s="3"/>
      <c r="V20" s="8">
        <f t="shared" si="5"/>
        <v>0</v>
      </c>
      <c r="W20" s="3"/>
      <c r="X20" s="7">
        <f t="shared" si="6"/>
        <v>159.04683509999995</v>
      </c>
      <c r="Y20" s="3"/>
      <c r="Z20" s="8">
        <f t="shared" si="7"/>
        <v>2.0834929661463972E-2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338.15</v>
      </c>
      <c r="E21" s="3"/>
      <c r="F21" s="8">
        <f t="shared" si="0"/>
        <v>0</v>
      </c>
      <c r="G21" s="3"/>
      <c r="H21" s="7">
        <v>437.11680749999999</v>
      </c>
      <c r="I21" s="3"/>
      <c r="J21" s="8">
        <f t="shared" si="1"/>
        <v>0</v>
      </c>
      <c r="K21" s="3"/>
      <c r="L21" s="7">
        <f t="shared" si="2"/>
        <v>-98.966807500000016</v>
      </c>
      <c r="M21" s="3"/>
      <c r="N21" s="8">
        <f t="shared" si="3"/>
        <v>-0.22640814949674526</v>
      </c>
      <c r="O21" s="12"/>
      <c r="P21" s="7">
        <v>3488.44</v>
      </c>
      <c r="Q21" s="3"/>
      <c r="R21" s="8">
        <f t="shared" si="4"/>
        <v>0</v>
      </c>
      <c r="S21" s="3"/>
      <c r="T21" s="7">
        <v>3780.4238070000001</v>
      </c>
      <c r="U21" s="3"/>
      <c r="V21" s="8">
        <f t="shared" si="5"/>
        <v>0</v>
      </c>
      <c r="W21" s="3"/>
      <c r="X21" s="7">
        <f t="shared" si="6"/>
        <v>-291.98380700000007</v>
      </c>
      <c r="Y21" s="3"/>
      <c r="Z21" s="8">
        <f t="shared" si="7"/>
        <v>-7.7235733850620117E-2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2467.5700000000002</v>
      </c>
      <c r="E22" s="3"/>
      <c r="F22" s="8">
        <f t="shared" si="0"/>
        <v>0</v>
      </c>
      <c r="G22" s="3"/>
      <c r="H22" s="7">
        <v>1977</v>
      </c>
      <c r="I22" s="3"/>
      <c r="J22" s="8">
        <f t="shared" si="1"/>
        <v>0</v>
      </c>
      <c r="K22" s="3"/>
      <c r="L22" s="7">
        <f t="shared" si="2"/>
        <v>490.57000000000016</v>
      </c>
      <c r="M22" s="3"/>
      <c r="N22" s="8">
        <f t="shared" si="3"/>
        <v>0.24813859382903397</v>
      </c>
      <c r="O22" s="12"/>
      <c r="P22" s="7">
        <v>26009.41</v>
      </c>
      <c r="Q22" s="3"/>
      <c r="R22" s="8">
        <f t="shared" si="4"/>
        <v>0</v>
      </c>
      <c r="S22" s="3"/>
      <c r="T22" s="7">
        <v>19770</v>
      </c>
      <c r="U22" s="3"/>
      <c r="V22" s="8">
        <f t="shared" si="5"/>
        <v>0</v>
      </c>
      <c r="W22" s="3"/>
      <c r="X22" s="7">
        <f t="shared" si="6"/>
        <v>6239.41</v>
      </c>
      <c r="Y22" s="3"/>
      <c r="Z22" s="8">
        <f t="shared" si="7"/>
        <v>0.31559989883662115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24.42</v>
      </c>
      <c r="E23" s="3"/>
      <c r="F23" s="8">
        <f t="shared" si="0"/>
        <v>0</v>
      </c>
      <c r="G23" s="3"/>
      <c r="H23" s="7">
        <v>24.2201925</v>
      </c>
      <c r="I23" s="3"/>
      <c r="J23" s="8">
        <f t="shared" si="1"/>
        <v>0</v>
      </c>
      <c r="K23" s="3"/>
      <c r="L23" s="7">
        <f t="shared" si="2"/>
        <v>0.19980750000000214</v>
      </c>
      <c r="M23" s="3"/>
      <c r="N23" s="8">
        <f t="shared" si="3"/>
        <v>8.2496247707363243E-3</v>
      </c>
      <c r="O23" s="12"/>
      <c r="P23" s="7">
        <v>251.93</v>
      </c>
      <c r="Q23" s="3"/>
      <c r="R23" s="8">
        <f t="shared" si="4"/>
        <v>0</v>
      </c>
      <c r="S23" s="3"/>
      <c r="T23" s="7">
        <v>209.469393</v>
      </c>
      <c r="U23" s="3"/>
      <c r="V23" s="8">
        <f t="shared" si="5"/>
        <v>0</v>
      </c>
      <c r="W23" s="3"/>
      <c r="X23" s="7">
        <f t="shared" si="6"/>
        <v>42.46060700000001</v>
      </c>
      <c r="Y23" s="3"/>
      <c r="Z23" s="8">
        <f t="shared" si="7"/>
        <v>0.20270554276156236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919.39</v>
      </c>
      <c r="E24" s="3"/>
      <c r="F24" s="8">
        <f t="shared" si="0"/>
        <v>0</v>
      </c>
      <c r="G24" s="3"/>
      <c r="H24" s="7">
        <v>991.87455</v>
      </c>
      <c r="I24" s="3"/>
      <c r="J24" s="8">
        <f t="shared" si="1"/>
        <v>0</v>
      </c>
      <c r="K24" s="3"/>
      <c r="L24" s="7">
        <f t="shared" si="2"/>
        <v>-72.484550000000013</v>
      </c>
      <c r="M24" s="3"/>
      <c r="N24" s="8">
        <f t="shared" si="3"/>
        <v>-7.307834443377946E-2</v>
      </c>
      <c r="O24" s="12"/>
      <c r="P24" s="7">
        <v>7515.67</v>
      </c>
      <c r="Q24" s="3"/>
      <c r="R24" s="8">
        <f t="shared" si="4"/>
        <v>0</v>
      </c>
      <c r="S24" s="3"/>
      <c r="T24" s="7">
        <v>8578.2703799999999</v>
      </c>
      <c r="U24" s="3"/>
      <c r="V24" s="8">
        <f t="shared" si="5"/>
        <v>0</v>
      </c>
      <c r="W24" s="3"/>
      <c r="X24" s="7">
        <f t="shared" si="6"/>
        <v>-1062.6003799999999</v>
      </c>
      <c r="Y24" s="3"/>
      <c r="Z24" s="8">
        <f t="shared" si="7"/>
        <v>-0.12387116900365175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860.74</v>
      </c>
      <c r="E26" s="3"/>
      <c r="F26" s="8">
        <f t="shared" si="0"/>
        <v>0</v>
      </c>
      <c r="G26" s="3"/>
      <c r="H26" s="7">
        <v>346.00274999999999</v>
      </c>
      <c r="I26" s="3"/>
      <c r="J26" s="8">
        <f t="shared" si="1"/>
        <v>0</v>
      </c>
      <c r="K26" s="3"/>
      <c r="L26" s="7">
        <f t="shared" si="2"/>
        <v>514.73725000000002</v>
      </c>
      <c r="M26" s="3"/>
      <c r="N26" s="8">
        <f t="shared" si="3"/>
        <v>1.4876680893432206</v>
      </c>
      <c r="O26" s="12"/>
      <c r="P26" s="7">
        <v>9236.7900000000009</v>
      </c>
      <c r="Q26" s="3"/>
      <c r="R26" s="8">
        <f t="shared" si="4"/>
        <v>0</v>
      </c>
      <c r="S26" s="3"/>
      <c r="T26" s="7">
        <v>2992.4198999999999</v>
      </c>
      <c r="U26" s="3"/>
      <c r="V26" s="8">
        <f t="shared" si="5"/>
        <v>0</v>
      </c>
      <c r="W26" s="3"/>
      <c r="X26" s="7">
        <f t="shared" si="6"/>
        <v>6244.370100000001</v>
      </c>
      <c r="Y26" s="3"/>
      <c r="Z26" s="8">
        <f t="shared" si="7"/>
        <v>2.0867292387675946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644.66999999999996</v>
      </c>
      <c r="E27" s="3"/>
      <c r="F27" s="8">
        <f t="shared" si="0"/>
        <v>0</v>
      </c>
      <c r="G27" s="3"/>
      <c r="H27" s="7">
        <v>230.66849999999999</v>
      </c>
      <c r="I27" s="3"/>
      <c r="J27" s="8">
        <f t="shared" si="1"/>
        <v>0</v>
      </c>
      <c r="K27" s="3"/>
      <c r="L27" s="7">
        <f t="shared" si="2"/>
        <v>414.00149999999996</v>
      </c>
      <c r="M27" s="3"/>
      <c r="N27" s="8">
        <f t="shared" si="3"/>
        <v>1.7947899258026128</v>
      </c>
      <c r="O27" s="12"/>
      <c r="P27" s="7">
        <v>5398.09</v>
      </c>
      <c r="Q27" s="3"/>
      <c r="R27" s="8">
        <f t="shared" si="4"/>
        <v>0</v>
      </c>
      <c r="S27" s="3"/>
      <c r="T27" s="7">
        <v>1994.9466</v>
      </c>
      <c r="U27" s="3"/>
      <c r="V27" s="8">
        <f t="shared" si="5"/>
        <v>0</v>
      </c>
      <c r="W27" s="3"/>
      <c r="X27" s="7">
        <f t="shared" si="6"/>
        <v>3403.1433999999999</v>
      </c>
      <c r="Y27" s="3"/>
      <c r="Z27" s="8">
        <f t="shared" si="7"/>
        <v>1.7058819519279362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154.66999999999999</v>
      </c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154.66999999999999</v>
      </c>
      <c r="M28" s="3"/>
      <c r="N28" s="8">
        <f t="shared" si="3"/>
        <v>0</v>
      </c>
      <c r="O28" s="12"/>
      <c r="P28" s="7">
        <v>995.03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995.03</v>
      </c>
      <c r="Y28" s="3"/>
      <c r="Z28" s="8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10250.19</v>
      </c>
      <c r="E29" s="2"/>
      <c r="F29" s="6">
        <f t="shared" si="0"/>
        <v>0</v>
      </c>
      <c r="G29" s="2"/>
      <c r="H29" s="2">
        <f>SUM(OSRRefH22_1x_0)</f>
        <v>10956.75375</v>
      </c>
      <c r="I29" s="2"/>
      <c r="J29" s="6">
        <f t="shared" si="1"/>
        <v>0</v>
      </c>
      <c r="K29" s="2"/>
      <c r="L29" s="2">
        <f t="shared" si="2"/>
        <v>-706.56374999999935</v>
      </c>
      <c r="M29" s="2"/>
      <c r="N29" s="6">
        <f t="shared" si="3"/>
        <v>-6.4486595767473495E-2</v>
      </c>
      <c r="O29" s="14"/>
      <c r="P29" s="2">
        <f>SUM(OSRRefP22_1x_0)</f>
        <v>94415.56</v>
      </c>
      <c r="Q29" s="2"/>
      <c r="R29" s="6">
        <f t="shared" si="4"/>
        <v>0</v>
      </c>
      <c r="S29" s="2"/>
      <c r="T29" s="2">
        <f>SUM(OSRRefT22_1x_0)</f>
        <v>94759.963499999998</v>
      </c>
      <c r="U29" s="2"/>
      <c r="V29" s="6">
        <f t="shared" si="5"/>
        <v>0</v>
      </c>
      <c r="W29" s="2"/>
      <c r="X29" s="2">
        <f t="shared" si="6"/>
        <v>-344.40350000000035</v>
      </c>
      <c r="Y29" s="2"/>
      <c r="Z29" s="6">
        <f t="shared" si="7"/>
        <v>-3.6344832488248093E-3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>
        <v>10250.19</v>
      </c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10250.19</v>
      </c>
      <c r="M30" s="3"/>
      <c r="N30" s="8">
        <f t="shared" si="3"/>
        <v>0</v>
      </c>
      <c r="O30" s="12"/>
      <c r="P30" s="7">
        <v>94415.56</v>
      </c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94415.56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/>
      <c r="E31" s="3"/>
      <c r="F31" s="8">
        <f t="shared" si="0"/>
        <v>0</v>
      </c>
      <c r="G31" s="3"/>
      <c r="H31" s="7">
        <v>10956.75375</v>
      </c>
      <c r="I31" s="3"/>
      <c r="J31" s="8">
        <f t="shared" si="1"/>
        <v>0</v>
      </c>
      <c r="K31" s="3"/>
      <c r="L31" s="7">
        <f t="shared" si="2"/>
        <v>-10956.75375</v>
      </c>
      <c r="M31" s="3"/>
      <c r="N31" s="8">
        <f t="shared" si="3"/>
        <v>-1</v>
      </c>
      <c r="O31" s="12"/>
      <c r="P31" s="7"/>
      <c r="Q31" s="3"/>
      <c r="R31" s="8">
        <f t="shared" si="4"/>
        <v>0</v>
      </c>
      <c r="S31" s="3"/>
      <c r="T31" s="7">
        <v>94759.963499999998</v>
      </c>
      <c r="U31" s="3"/>
      <c r="V31" s="8">
        <f t="shared" si="5"/>
        <v>0</v>
      </c>
      <c r="W31" s="3"/>
      <c r="X31" s="7">
        <f t="shared" si="6"/>
        <v>-94759.963499999998</v>
      </c>
      <c r="Y31" s="3"/>
      <c r="Z31" s="8">
        <f t="shared" si="7"/>
        <v>-1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45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45</v>
      </c>
      <c r="Y40" s="2"/>
      <c r="Z40" s="6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45</v>
      </c>
      <c r="Q41" s="3"/>
      <c r="R41" s="8">
        <f t="shared" si="4"/>
        <v>0</v>
      </c>
      <c r="S41" s="3"/>
      <c r="T41" s="7"/>
      <c r="U41" s="3"/>
      <c r="V41" s="8">
        <f t="shared" si="5"/>
        <v>0</v>
      </c>
      <c r="W41" s="3"/>
      <c r="X41" s="7">
        <f t="shared" si="6"/>
        <v>45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SUM(OSRRefD22_3x_0)</f>
        <v>222</v>
      </c>
      <c r="E42" s="2"/>
      <c r="F42" s="6">
        <f t="shared" si="0"/>
        <v>0</v>
      </c>
      <c r="G42" s="2"/>
      <c r="H42" s="2">
        <f>SUM(OSRRefH22_3x_0)</f>
        <v>200</v>
      </c>
      <c r="I42" s="2"/>
      <c r="J42" s="6">
        <f t="shared" si="1"/>
        <v>0</v>
      </c>
      <c r="K42" s="2"/>
      <c r="L42" s="2">
        <f t="shared" si="2"/>
        <v>22</v>
      </c>
      <c r="M42" s="2"/>
      <c r="N42" s="6">
        <f t="shared" si="3"/>
        <v>0.11</v>
      </c>
      <c r="O42" s="14"/>
      <c r="P42" s="2">
        <f>SUM(OSRRefP22_3x_0)</f>
        <v>752</v>
      </c>
      <c r="Q42" s="2"/>
      <c r="R42" s="6">
        <f t="shared" si="4"/>
        <v>0</v>
      </c>
      <c r="S42" s="2"/>
      <c r="T42" s="2">
        <f>SUM(OSRRefT22_3x_0)</f>
        <v>2000</v>
      </c>
      <c r="U42" s="2"/>
      <c r="V42" s="6">
        <f t="shared" si="5"/>
        <v>0</v>
      </c>
      <c r="W42" s="2"/>
      <c r="X42" s="2">
        <f t="shared" si="6"/>
        <v>-1248</v>
      </c>
      <c r="Y42" s="2"/>
      <c r="Z42" s="6">
        <f t="shared" si="7"/>
        <v>-0.624</v>
      </c>
    </row>
    <row r="43" spans="1:26" s="70" customFormat="1" ht="15" hidden="1" customHeight="1" outlineLevel="2" x14ac:dyDescent="0.3">
      <c r="A43" s="26"/>
      <c r="B43" s="12" t="str">
        <f>CONCATENATE("          ","6279"," - ","GENERAL EXPENSE")</f>
        <v xml:space="preserve">          6279 - GENERAL EXPENSE</v>
      </c>
      <c r="C43" s="12"/>
      <c r="D43" s="7">
        <v>222</v>
      </c>
      <c r="E43" s="3"/>
      <c r="F43" s="8">
        <f t="shared" si="0"/>
        <v>0</v>
      </c>
      <c r="G43" s="3"/>
      <c r="H43" s="7">
        <v>200</v>
      </c>
      <c r="I43" s="3"/>
      <c r="J43" s="8">
        <f t="shared" si="1"/>
        <v>0</v>
      </c>
      <c r="K43" s="3"/>
      <c r="L43" s="7">
        <f t="shared" si="2"/>
        <v>22</v>
      </c>
      <c r="M43" s="3"/>
      <c r="N43" s="8">
        <f t="shared" si="3"/>
        <v>0.11</v>
      </c>
      <c r="O43" s="12"/>
      <c r="P43" s="7">
        <v>752</v>
      </c>
      <c r="Q43" s="3"/>
      <c r="R43" s="8">
        <f t="shared" si="4"/>
        <v>0</v>
      </c>
      <c r="S43" s="3"/>
      <c r="T43" s="7">
        <v>2000</v>
      </c>
      <c r="U43" s="3"/>
      <c r="V43" s="8">
        <f t="shared" si="5"/>
        <v>0</v>
      </c>
      <c r="W43" s="3"/>
      <c r="X43" s="7">
        <f t="shared" si="6"/>
        <v>-1248</v>
      </c>
      <c r="Y43" s="3"/>
      <c r="Z43" s="8">
        <f t="shared" si="7"/>
        <v>-0.624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3500</v>
      </c>
      <c r="E44" s="2"/>
      <c r="F44" s="6">
        <f t="shared" si="0"/>
        <v>0</v>
      </c>
      <c r="G44" s="2"/>
      <c r="H44" s="2">
        <f>SUM(OSRRefH22_4x_0)</f>
        <v>3500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SUM(OSRRefP22_4x_0)</f>
        <v>35000</v>
      </c>
      <c r="Q44" s="2"/>
      <c r="R44" s="6">
        <f t="shared" si="4"/>
        <v>0</v>
      </c>
      <c r="S44" s="2"/>
      <c r="T44" s="2">
        <f>SUM(OSRRefT22_4x_0)</f>
        <v>35000</v>
      </c>
      <c r="U44" s="2"/>
      <c r="V44" s="6">
        <f t="shared" si="5"/>
        <v>0</v>
      </c>
      <c r="W44" s="2"/>
      <c r="X44" s="2">
        <f t="shared" si="6"/>
        <v>0</v>
      </c>
      <c r="Y44" s="2"/>
      <c r="Z44" s="6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7">
        <v>3500</v>
      </c>
      <c r="E45" s="3"/>
      <c r="F45" s="8">
        <f t="shared" si="0"/>
        <v>0</v>
      </c>
      <c r="G45" s="3"/>
      <c r="H45" s="7">
        <v>3500</v>
      </c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>
        <v>35000</v>
      </c>
      <c r="Q45" s="3"/>
      <c r="R45" s="8">
        <f t="shared" si="4"/>
        <v>0</v>
      </c>
      <c r="S45" s="3"/>
      <c r="T45" s="7">
        <v>35000</v>
      </c>
      <c r="U45" s="3"/>
      <c r="V45" s="8">
        <f t="shared" si="5"/>
        <v>0</v>
      </c>
      <c r="W45" s="3"/>
      <c r="X45" s="7">
        <f t="shared" si="6"/>
        <v>0</v>
      </c>
      <c r="Y45" s="3"/>
      <c r="Z45" s="8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","Supplies                                          ")</f>
        <v xml:space="preserve">     Supplies                                          </v>
      </c>
      <c r="C46" s="14"/>
      <c r="D46" s="2">
        <f>SUM(OSRRefD22_5x_0)</f>
        <v>0</v>
      </c>
      <c r="E46" s="2"/>
      <c r="F46" s="6">
        <f t="shared" si="0"/>
        <v>0</v>
      </c>
      <c r="G46" s="2"/>
      <c r="H46" s="2">
        <f>SUM(OSRRefH22_5x_0)</f>
        <v>342</v>
      </c>
      <c r="I46" s="2"/>
      <c r="J46" s="6">
        <f t="shared" si="1"/>
        <v>0</v>
      </c>
      <c r="K46" s="2"/>
      <c r="L46" s="2">
        <f t="shared" si="2"/>
        <v>-342</v>
      </c>
      <c r="M46" s="2"/>
      <c r="N46" s="6">
        <f t="shared" si="3"/>
        <v>-1</v>
      </c>
      <c r="O46" s="14"/>
      <c r="P46" s="2">
        <f>SUM(OSRRefP22_5x_0)</f>
        <v>2371.52</v>
      </c>
      <c r="Q46" s="2"/>
      <c r="R46" s="6">
        <f t="shared" si="4"/>
        <v>0</v>
      </c>
      <c r="S46" s="2"/>
      <c r="T46" s="2">
        <f>SUM(OSRRefT22_5x_0)</f>
        <v>3420</v>
      </c>
      <c r="U46" s="2"/>
      <c r="V46" s="6">
        <f t="shared" si="5"/>
        <v>0</v>
      </c>
      <c r="W46" s="2"/>
      <c r="X46" s="2">
        <f t="shared" si="6"/>
        <v>-1048.48</v>
      </c>
      <c r="Y46" s="2"/>
      <c r="Z46" s="6">
        <f t="shared" si="7"/>
        <v>-0.30657309941520466</v>
      </c>
    </row>
    <row r="47" spans="1:26" s="70" customFormat="1" ht="15" hidden="1" customHeight="1" outlineLevel="2" x14ac:dyDescent="0.3">
      <c r="A47" s="26"/>
      <c r="B47" s="12" t="str">
        <f>CONCATENATE("          ","6234"," - ","EXPENDABLE SUPPLIES &amp; EQUIPMEN")</f>
        <v xml:space="preserve">          6234 - EXPENDABLE SUPPLIES &amp; EQUIPMEN</v>
      </c>
      <c r="C47" s="12"/>
      <c r="D47" s="7"/>
      <c r="E47" s="3"/>
      <c r="F47" s="8">
        <f t="shared" si="0"/>
        <v>0</v>
      </c>
      <c r="G47" s="3"/>
      <c r="H47" s="7">
        <v>342</v>
      </c>
      <c r="I47" s="3"/>
      <c r="J47" s="8">
        <f t="shared" si="1"/>
        <v>0</v>
      </c>
      <c r="K47" s="3"/>
      <c r="L47" s="7">
        <f t="shared" si="2"/>
        <v>-342</v>
      </c>
      <c r="M47" s="3"/>
      <c r="N47" s="8">
        <f t="shared" si="3"/>
        <v>-1</v>
      </c>
      <c r="O47" s="12"/>
      <c r="P47" s="7"/>
      <c r="Q47" s="3"/>
      <c r="R47" s="8">
        <f t="shared" si="4"/>
        <v>0</v>
      </c>
      <c r="S47" s="3"/>
      <c r="T47" s="7">
        <v>3420</v>
      </c>
      <c r="U47" s="3"/>
      <c r="V47" s="8">
        <f t="shared" si="5"/>
        <v>0</v>
      </c>
      <c r="W47" s="3"/>
      <c r="X47" s="7">
        <f t="shared" si="6"/>
        <v>-3420</v>
      </c>
      <c r="Y47" s="3"/>
      <c r="Z47" s="8">
        <f t="shared" si="7"/>
        <v>-1</v>
      </c>
    </row>
    <row r="48" spans="1:26" s="70" customFormat="1" ht="15" hidden="1" customHeight="1" outlineLevel="2" x14ac:dyDescent="0.3">
      <c r="A48" s="26"/>
      <c r="B48" s="12" t="str">
        <f>CONCATENATE("          ","6241"," - ","OFFICE EXPENSE")</f>
        <v xml:space="preserve">          6241 - OFFICE EXPENSE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2371.52</v>
      </c>
      <c r="Q48" s="3"/>
      <c r="R48" s="8">
        <f t="shared" si="4"/>
        <v>0</v>
      </c>
      <c r="S48" s="3"/>
      <c r="T48" s="7"/>
      <c r="U48" s="3"/>
      <c r="V48" s="8">
        <f t="shared" si="5"/>
        <v>0</v>
      </c>
      <c r="W48" s="3"/>
      <c r="X48" s="7">
        <f t="shared" si="6"/>
        <v>2371.52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150</v>
      </c>
      <c r="E49" s="2"/>
      <c r="F49" s="6">
        <f t="shared" si="0"/>
        <v>0</v>
      </c>
      <c r="G49" s="2"/>
      <c r="H49" s="2">
        <f>SUM(OSRRefH22_6x_0)</f>
        <v>83</v>
      </c>
      <c r="I49" s="2"/>
      <c r="J49" s="6">
        <f t="shared" si="1"/>
        <v>0</v>
      </c>
      <c r="K49" s="2"/>
      <c r="L49" s="2">
        <f t="shared" si="2"/>
        <v>67</v>
      </c>
      <c r="M49" s="2"/>
      <c r="N49" s="6">
        <f t="shared" si="3"/>
        <v>0.80722891566265065</v>
      </c>
      <c r="O49" s="14"/>
      <c r="P49" s="2">
        <f>SUM(OSRRefP22_6x_0)</f>
        <v>808</v>
      </c>
      <c r="Q49" s="2"/>
      <c r="R49" s="6">
        <f t="shared" si="4"/>
        <v>0</v>
      </c>
      <c r="S49" s="2"/>
      <c r="T49" s="2">
        <f>SUM(OSRRefT22_6x_0)</f>
        <v>830</v>
      </c>
      <c r="U49" s="2"/>
      <c r="V49" s="6">
        <f t="shared" si="5"/>
        <v>0</v>
      </c>
      <c r="W49" s="2"/>
      <c r="X49" s="2">
        <f t="shared" si="6"/>
        <v>-22</v>
      </c>
      <c r="Y49" s="2"/>
      <c r="Z49" s="6">
        <f t="shared" si="7"/>
        <v>-2.6506024096385541E-2</v>
      </c>
    </row>
    <row r="50" spans="1:26" s="70" customFormat="1" ht="15" hidden="1" customHeight="1" outlineLevel="2" x14ac:dyDescent="0.3">
      <c r="A50" s="26"/>
      <c r="B50" s="12" t="str">
        <f>CONCATENATE("          ","6303"," - ","DATA PHONE LINES")</f>
        <v xml:space="preserve">          6303 - DATA PHONE LINES</v>
      </c>
      <c r="C50" s="12"/>
      <c r="D50" s="7"/>
      <c r="E50" s="3"/>
      <c r="F50" s="8">
        <f t="shared" si="0"/>
        <v>0</v>
      </c>
      <c r="G50" s="3"/>
      <c r="H50" s="7">
        <v>58</v>
      </c>
      <c r="I50" s="3"/>
      <c r="J50" s="8">
        <f t="shared" si="1"/>
        <v>0</v>
      </c>
      <c r="K50" s="3"/>
      <c r="L50" s="7">
        <f t="shared" si="2"/>
        <v>-58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580</v>
      </c>
      <c r="U50" s="3"/>
      <c r="V50" s="8">
        <f t="shared" si="5"/>
        <v>0</v>
      </c>
      <c r="W50" s="3"/>
      <c r="X50" s="7">
        <f t="shared" si="6"/>
        <v>-580</v>
      </c>
      <c r="Y50" s="3"/>
      <c r="Z50" s="8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","6309"," - ","TELEPHONE")</f>
        <v xml:space="preserve">          6309 - TELEPHONE</v>
      </c>
      <c r="C51" s="12"/>
      <c r="D51" s="7">
        <v>150</v>
      </c>
      <c r="E51" s="3"/>
      <c r="F51" s="8">
        <f t="shared" si="0"/>
        <v>0</v>
      </c>
      <c r="G51" s="3"/>
      <c r="H51" s="7">
        <v>25</v>
      </c>
      <c r="I51" s="3"/>
      <c r="J51" s="8">
        <f t="shared" si="1"/>
        <v>0</v>
      </c>
      <c r="K51" s="3"/>
      <c r="L51" s="7">
        <f t="shared" si="2"/>
        <v>125</v>
      </c>
      <c r="M51" s="3"/>
      <c r="N51" s="8">
        <f t="shared" si="3"/>
        <v>5</v>
      </c>
      <c r="O51" s="12"/>
      <c r="P51" s="7">
        <v>808</v>
      </c>
      <c r="Q51" s="3"/>
      <c r="R51" s="8">
        <f t="shared" si="4"/>
        <v>0</v>
      </c>
      <c r="S51" s="3"/>
      <c r="T51" s="7">
        <v>250</v>
      </c>
      <c r="U51" s="3"/>
      <c r="V51" s="8">
        <f t="shared" si="5"/>
        <v>0</v>
      </c>
      <c r="W51" s="3"/>
      <c r="X51" s="7">
        <f t="shared" si="6"/>
        <v>558</v>
      </c>
      <c r="Y51" s="3"/>
      <c r="Z51" s="8">
        <f t="shared" si="7"/>
        <v>2.2320000000000002</v>
      </c>
    </row>
    <row r="52" spans="1:26" s="69" customFormat="1" ht="15" customHeight="1" outlineLevel="1" collapsed="1" x14ac:dyDescent="0.3">
      <c r="A52" s="25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0</v>
      </c>
      <c r="E52" s="2"/>
      <c r="F52" s="6">
        <f t="shared" si="0"/>
        <v>0</v>
      </c>
      <c r="G52" s="2"/>
      <c r="H52" s="2">
        <f>SUM(OSRRefH22_7x_0)</f>
        <v>300</v>
      </c>
      <c r="I52" s="2"/>
      <c r="J52" s="6">
        <f t="shared" si="1"/>
        <v>0</v>
      </c>
      <c r="K52" s="2"/>
      <c r="L52" s="2">
        <f t="shared" si="2"/>
        <v>-300</v>
      </c>
      <c r="M52" s="2"/>
      <c r="N52" s="6">
        <f t="shared" si="3"/>
        <v>-1</v>
      </c>
      <c r="O52" s="14"/>
      <c r="P52" s="2">
        <f>SUM(OSRRefP22_7x_0)</f>
        <v>7613.97</v>
      </c>
      <c r="Q52" s="2"/>
      <c r="R52" s="6">
        <f t="shared" si="4"/>
        <v>0</v>
      </c>
      <c r="S52" s="2"/>
      <c r="T52" s="2">
        <f>SUM(OSRRefT22_7x_0)</f>
        <v>3000</v>
      </c>
      <c r="U52" s="2"/>
      <c r="V52" s="6">
        <f t="shared" si="5"/>
        <v>0</v>
      </c>
      <c r="W52" s="2"/>
      <c r="X52" s="2">
        <f t="shared" si="6"/>
        <v>4613.97</v>
      </c>
      <c r="Y52" s="2"/>
      <c r="Z52" s="6">
        <f t="shared" si="7"/>
        <v>1.5379900000000002</v>
      </c>
    </row>
    <row r="53" spans="1:26" s="70" customFormat="1" ht="15" hidden="1" customHeight="1" outlineLevel="2" x14ac:dyDescent="0.3">
      <c r="A53" s="26"/>
      <c r="B53" s="12" t="str">
        <f>CONCATENATE("          ","6376"," - ","TRAINING")</f>
        <v xml:space="preserve">          6376 - TRAINING</v>
      </c>
      <c r="C53" s="12"/>
      <c r="D53" s="7"/>
      <c r="E53" s="3"/>
      <c r="F53" s="8">
        <f t="shared" si="0"/>
        <v>0</v>
      </c>
      <c r="G53" s="3"/>
      <c r="H53" s="7">
        <v>300</v>
      </c>
      <c r="I53" s="3"/>
      <c r="J53" s="8">
        <f t="shared" si="1"/>
        <v>0</v>
      </c>
      <c r="K53" s="3"/>
      <c r="L53" s="7">
        <f t="shared" si="2"/>
        <v>-300</v>
      </c>
      <c r="M53" s="3"/>
      <c r="N53" s="8">
        <f t="shared" si="3"/>
        <v>-1</v>
      </c>
      <c r="O53" s="12"/>
      <c r="P53" s="7">
        <v>7613.97</v>
      </c>
      <c r="Q53" s="3"/>
      <c r="R53" s="8">
        <f t="shared" si="4"/>
        <v>0</v>
      </c>
      <c r="S53" s="3"/>
      <c r="T53" s="7">
        <v>3000</v>
      </c>
      <c r="U53" s="3"/>
      <c r="V53" s="8">
        <f t="shared" si="5"/>
        <v>0</v>
      </c>
      <c r="W53" s="3"/>
      <c r="X53" s="7">
        <f t="shared" si="6"/>
        <v>4613.97</v>
      </c>
      <c r="Y53" s="3"/>
      <c r="Z53" s="8">
        <f t="shared" si="7"/>
        <v>1.5379900000000002</v>
      </c>
    </row>
    <row r="54" spans="1:26" s="69" customFormat="1" ht="15" customHeight="1" outlineLevel="1" collapsed="1" x14ac:dyDescent="0.3">
      <c r="A54" s="25"/>
      <c r="B54" s="14" t="str">
        <f>CONCATENATE("     ","Travel                                            ")</f>
        <v xml:space="preserve">     Travel                                            </v>
      </c>
      <c r="C54" s="14"/>
      <c r="D54" s="2">
        <f>SUM(OSRRefD22_8x_0)</f>
        <v>0</v>
      </c>
      <c r="E54" s="2"/>
      <c r="F54" s="6">
        <f t="shared" si="0"/>
        <v>0</v>
      </c>
      <c r="G54" s="2"/>
      <c r="H54" s="2">
        <f>SUM(OSRRefH22_8x_0)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SUM(OSRRefP22_8x_0)</f>
        <v>595</v>
      </c>
      <c r="Q54" s="2"/>
      <c r="R54" s="6">
        <f t="shared" si="4"/>
        <v>0</v>
      </c>
      <c r="S54" s="2"/>
      <c r="T54" s="2">
        <f>SUM(OSRRefT22_8x_0)</f>
        <v>0</v>
      </c>
      <c r="U54" s="2"/>
      <c r="V54" s="6">
        <f t="shared" si="5"/>
        <v>0</v>
      </c>
      <c r="W54" s="2"/>
      <c r="X54" s="2">
        <f t="shared" si="6"/>
        <v>595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","6292"," - ","TRAVEL/CONFERENCE")</f>
        <v xml:space="preserve">          6292 - TRAVEL/CONFERENCE</v>
      </c>
      <c r="C55" s="12"/>
      <c r="D55" s="7"/>
      <c r="E55" s="3"/>
      <c r="F55" s="8">
        <f t="shared" si="0"/>
        <v>0</v>
      </c>
      <c r="G55" s="3"/>
      <c r="H55" s="7"/>
      <c r="I55" s="3"/>
      <c r="J55" s="8">
        <f t="shared" si="1"/>
        <v>0</v>
      </c>
      <c r="K55" s="3"/>
      <c r="L55" s="7">
        <f t="shared" si="2"/>
        <v>0</v>
      </c>
      <c r="M55" s="3"/>
      <c r="N55" s="8">
        <f t="shared" si="3"/>
        <v>0</v>
      </c>
      <c r="O55" s="12"/>
      <c r="P55" s="7">
        <v>595</v>
      </c>
      <c r="Q55" s="3"/>
      <c r="R55" s="8">
        <f t="shared" si="4"/>
        <v>0</v>
      </c>
      <c r="S55" s="3"/>
      <c r="T55" s="7"/>
      <c r="U55" s="3"/>
      <c r="V55" s="8">
        <f t="shared" si="5"/>
        <v>0</v>
      </c>
      <c r="W55" s="3"/>
      <c r="X55" s="7">
        <f t="shared" si="6"/>
        <v>595</v>
      </c>
      <c r="Y55" s="3"/>
      <c r="Z55" s="8">
        <f t="shared" si="7"/>
        <v>0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8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7" t="s">
        <v>292</v>
      </c>
      <c r="C59" s="27"/>
      <c r="D59" s="21">
        <f>+D16-D18+D57</f>
        <v>-20612.510000000002</v>
      </c>
      <c r="E59" s="15"/>
      <c r="F59" s="23">
        <f>IF(D$12=0,0,D59/D$12)</f>
        <v>0</v>
      </c>
      <c r="G59" s="15"/>
      <c r="H59" s="21">
        <f>+H16-H18+H57</f>
        <v>-20271.289565250001</v>
      </c>
      <c r="I59" s="15"/>
      <c r="J59" s="23">
        <f>IF(H$12=0,0,H59/H$12)</f>
        <v>0</v>
      </c>
      <c r="K59" s="17"/>
      <c r="L59" s="21">
        <f>+D59-H59</f>
        <v>-341.220434750001</v>
      </c>
      <c r="M59" s="17"/>
      <c r="N59" s="23">
        <f>IF(H59=0,0,L59/H59)</f>
        <v>1.6832695011911682E-2</v>
      </c>
      <c r="O59" s="28"/>
      <c r="P59" s="21">
        <f>+P16-P18+P57</f>
        <v>-202289.12</v>
      </c>
      <c r="Q59" s="15"/>
      <c r="R59" s="23">
        <f>IF(P$12=0,0,P59/P$12)</f>
        <v>0</v>
      </c>
      <c r="S59" s="15"/>
      <c r="T59" s="21">
        <f>+T16-T18+T57</f>
        <v>-183969.15674489998</v>
      </c>
      <c r="U59" s="15"/>
      <c r="V59" s="23">
        <f>IF(T$12=0,0,T59/T$12)</f>
        <v>0</v>
      </c>
      <c r="W59" s="17"/>
      <c r="X59" s="21">
        <f>+P59-T59</f>
        <v>-18319.96325510001</v>
      </c>
      <c r="Y59" s="17"/>
      <c r="Z59" s="23">
        <f>IF(T59=0,0,X59/T59)</f>
        <v>9.9581710212996777E-2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/>
      <c r="E61" s="5"/>
      <c r="F61" s="13">
        <f>IF(D$12=0,0,D61/D$12)</f>
        <v>0</v>
      </c>
      <c r="G61" s="5"/>
      <c r="H61" s="5"/>
      <c r="I61" s="5"/>
      <c r="J61" s="13">
        <f>IF(H$12=0,0,H61/H$12)</f>
        <v>0</v>
      </c>
      <c r="K61" s="5"/>
      <c r="L61" s="5">
        <f>+D61-H61</f>
        <v>0</v>
      </c>
      <c r="M61" s="5"/>
      <c r="N61" s="13">
        <f>IF(H61=0,0,L61/H61)</f>
        <v>0</v>
      </c>
      <c r="O61" s="11"/>
      <c r="P61" s="5"/>
      <c r="Q61" s="5"/>
      <c r="R61" s="13">
        <f>IF(P$12=0,0,P61/P$12)</f>
        <v>0</v>
      </c>
      <c r="S61" s="5"/>
      <c r="T61" s="5"/>
      <c r="U61" s="5"/>
      <c r="V61" s="13">
        <f>IF(T$12=0,0,T61/T$12)</f>
        <v>0</v>
      </c>
      <c r="W61" s="5"/>
      <c r="X61" s="5">
        <f>+P61-T61</f>
        <v>0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7" t="s">
        <v>294</v>
      </c>
      <c r="C63" s="27"/>
      <c r="D63" s="29">
        <f>+D59-D61</f>
        <v>-20612.510000000002</v>
      </c>
      <c r="E63" s="15"/>
      <c r="F63" s="30">
        <f>IF(D$12=0,0,D63/D$12)</f>
        <v>0</v>
      </c>
      <c r="G63" s="15"/>
      <c r="H63" s="29">
        <f>+H59-H61</f>
        <v>-20271.289565250001</v>
      </c>
      <c r="I63" s="15"/>
      <c r="J63" s="30">
        <f>IF(H$12=0,0,H63/H$12)</f>
        <v>0</v>
      </c>
      <c r="K63" s="17"/>
      <c r="L63" s="29">
        <f>D63-H63</f>
        <v>-341.220434750001</v>
      </c>
      <c r="M63" s="17"/>
      <c r="N63" s="30">
        <f>IF(H63=0,0,L63/H63)</f>
        <v>1.6832695011911682E-2</v>
      </c>
      <c r="O63" s="28"/>
      <c r="P63" s="29">
        <f>+P59-P61</f>
        <v>-202289.12</v>
      </c>
      <c r="Q63" s="15"/>
      <c r="R63" s="30">
        <f>IF(P$12=0,0,P63/P$12)</f>
        <v>0</v>
      </c>
      <c r="S63" s="15"/>
      <c r="T63" s="29">
        <f>+T59-T61</f>
        <v>-183969.15674489998</v>
      </c>
      <c r="U63" s="15"/>
      <c r="V63" s="30">
        <f>IF(T$12=0,0,T63/T$12)</f>
        <v>0</v>
      </c>
      <c r="W63" s="17"/>
      <c r="X63" s="29">
        <f>P63-T63</f>
        <v>-18319.96325510001</v>
      </c>
      <c r="Y63" s="17"/>
      <c r="Z63" s="30">
        <f>IF(T63=0,0,X63/T63)</f>
        <v>9.9581710212996777E-2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7" t="s">
        <v>297</v>
      </c>
      <c r="C66" s="27"/>
      <c r="D66" s="32">
        <f>SUM(D63:D65)</f>
        <v>-20612.510000000002</v>
      </c>
      <c r="E66" s="15"/>
      <c r="F66" s="34">
        <f>IF(D$12=0,0,D66/D$12)</f>
        <v>0</v>
      </c>
      <c r="G66" s="15"/>
      <c r="H66" s="32">
        <f>SUM(H63:H65)</f>
        <v>-20271.289565250001</v>
      </c>
      <c r="I66" s="15"/>
      <c r="J66" s="34">
        <f>IF(H$12=0,0,H66/H$12)</f>
        <v>0</v>
      </c>
      <c r="K66" s="17"/>
      <c r="L66" s="32">
        <f>+D66-H66</f>
        <v>-341.220434750001</v>
      </c>
      <c r="M66" s="17"/>
      <c r="N66" s="34">
        <f>IF(H66=0,0,L66/H66)</f>
        <v>1.6832695011911682E-2</v>
      </c>
      <c r="O66" s="28"/>
      <c r="P66" s="32">
        <f>SUM(P63:P65)</f>
        <v>-202289.12</v>
      </c>
      <c r="Q66" s="15"/>
      <c r="R66" s="34">
        <f>IF(P$12=0,0,P66/P$12)</f>
        <v>0</v>
      </c>
      <c r="S66" s="15"/>
      <c r="T66" s="32">
        <f>SUM(T63:T65)</f>
        <v>-183969.15674489998</v>
      </c>
      <c r="U66" s="15"/>
      <c r="V66" s="34">
        <f>IF(T$12=0,0,T66/T$12)</f>
        <v>0</v>
      </c>
      <c r="W66" s="17"/>
      <c r="X66" s="32">
        <f>+P66-T66</f>
        <v>-18319.96325510001</v>
      </c>
      <c r="Y66" s="17"/>
      <c r="Z66" s="34">
        <f>IF(T66=0,0,X66/T66)</f>
        <v>9.9581710212996777E-2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6">
        <v>44694.888552430559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0" t="s">
        <v>298</v>
      </c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A70" s="10"/>
      <c r="B70" s="51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7CC46-0036-B165-2C22-E50128596AD6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","433"," - ","Hillside Dining Hall")</f>
        <v>Department 433 - Hillside Dining Hall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557666.16</v>
      </c>
      <c r="E12" s="5"/>
      <c r="F12" s="13"/>
      <c r="G12" s="5"/>
      <c r="H12" s="5">
        <f>SUM(OSRRefH13x_0)</f>
        <v>437400</v>
      </c>
      <c r="I12" s="5"/>
      <c r="J12" s="13"/>
      <c r="K12" s="5"/>
      <c r="L12" s="5">
        <f>+D12-H12</f>
        <v>120266.16000000003</v>
      </c>
      <c r="M12" s="5"/>
      <c r="N12" s="13">
        <f>IF(H12=0,0,L12/H12)</f>
        <v>0.27495692729766813</v>
      </c>
      <c r="O12" s="11"/>
      <c r="P12" s="5">
        <f>SUM(OSRRefP13x_0)</f>
        <v>3704223.0599999996</v>
      </c>
      <c r="Q12" s="5"/>
      <c r="R12" s="13"/>
      <c r="S12" s="5"/>
      <c r="T12" s="5">
        <f>SUM(OSRRefT13x_0)</f>
        <v>3321000</v>
      </c>
      <c r="U12" s="5"/>
      <c r="V12" s="13"/>
      <c r="W12" s="5"/>
      <c r="X12" s="5">
        <f>+P12-T12</f>
        <v>383223.05999999959</v>
      </c>
      <c r="Y12" s="5"/>
      <c r="Z12" s="13">
        <f>IF(T12=0,0,X12/T12)</f>
        <v>0.11539387533875327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--453.18</f>
        <v>453.18</v>
      </c>
      <c r="E13" s="3"/>
      <c r="F13" s="20"/>
      <c r="G13" s="3"/>
      <c r="H13" s="3"/>
      <c r="I13" s="3"/>
      <c r="J13" s="20"/>
      <c r="K13" s="3"/>
      <c r="L13" s="3">
        <f>+D13-H13</f>
        <v>453.18</v>
      </c>
      <c r="M13" s="3"/>
      <c r="N13" s="20">
        <f>IF(H13=0,0,L13/H13)</f>
        <v>0</v>
      </c>
      <c r="O13" s="12"/>
      <c r="P13" s="3">
        <f>--2842.73</f>
        <v>2842.73</v>
      </c>
      <c r="Q13" s="3"/>
      <c r="R13" s="20"/>
      <c r="S13" s="3"/>
      <c r="T13" s="3"/>
      <c r="U13" s="3"/>
      <c r="V13" s="20"/>
      <c r="W13" s="3"/>
      <c r="X13" s="3">
        <f>+P13-T13</f>
        <v>2842.73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437400</v>
      </c>
      <c r="I14" s="3"/>
      <c r="J14" s="20"/>
      <c r="K14" s="3"/>
      <c r="L14" s="3">
        <f>+D14-H14</f>
        <v>-437400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3321000</v>
      </c>
      <c r="U14" s="3"/>
      <c r="V14" s="20"/>
      <c r="W14" s="3"/>
      <c r="X14" s="3">
        <f>+P14-T14</f>
        <v>-3321000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--547359.66</f>
        <v>547359.66</v>
      </c>
      <c r="E15" s="3"/>
      <c r="F15" s="20"/>
      <c r="G15" s="3"/>
      <c r="H15" s="3"/>
      <c r="I15" s="3"/>
      <c r="J15" s="20"/>
      <c r="K15" s="3"/>
      <c r="L15" s="3">
        <f>+D15-H15</f>
        <v>547359.66</v>
      </c>
      <c r="M15" s="3"/>
      <c r="N15" s="20">
        <f>IF(H15=0,0,L15/H15)</f>
        <v>0</v>
      </c>
      <c r="O15" s="12"/>
      <c r="P15" s="3">
        <f>--3624128.82</f>
        <v>3624128.82</v>
      </c>
      <c r="Q15" s="3"/>
      <c r="R15" s="20"/>
      <c r="S15" s="3"/>
      <c r="T15" s="3"/>
      <c r="U15" s="3"/>
      <c r="V15" s="20"/>
      <c r="W15" s="3"/>
      <c r="X15" s="3">
        <f>+P15-T15</f>
        <v>3624128.82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--9853.32</f>
        <v>9853.32</v>
      </c>
      <c r="E16" s="3"/>
      <c r="F16" s="20"/>
      <c r="G16" s="3"/>
      <c r="H16" s="3"/>
      <c r="I16" s="3"/>
      <c r="J16" s="20"/>
      <c r="K16" s="3"/>
      <c r="L16" s="3">
        <f>+D16-H16</f>
        <v>9853.32</v>
      </c>
      <c r="M16" s="3"/>
      <c r="N16" s="20">
        <f>IF(H16=0,0,L16/H16)</f>
        <v>0</v>
      </c>
      <c r="O16" s="12"/>
      <c r="P16" s="3">
        <f>--77251.51</f>
        <v>77251.509999999995</v>
      </c>
      <c r="Q16" s="3"/>
      <c r="R16" s="20"/>
      <c r="S16" s="3"/>
      <c r="T16" s="3"/>
      <c r="U16" s="3"/>
      <c r="V16" s="20"/>
      <c r="W16" s="3"/>
      <c r="X16" s="3">
        <f>+P16-T16</f>
        <v>77251.509999999995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130937.39</v>
      </c>
      <c r="E18" s="5"/>
      <c r="F18" s="13">
        <f>IF(D$12=0,0,D18/D$12)</f>
        <v>0.23479529401604715</v>
      </c>
      <c r="G18" s="5"/>
      <c r="H18" s="5">
        <f>SUM(OSRRefH16x_0)</f>
        <v>113724</v>
      </c>
      <c r="I18" s="5"/>
      <c r="J18" s="13">
        <f>IF(H$12=0,0,H18/H$12)</f>
        <v>0.26</v>
      </c>
      <c r="K18" s="5"/>
      <c r="L18" s="5">
        <f>+D18-H18</f>
        <v>17213.39</v>
      </c>
      <c r="M18" s="5"/>
      <c r="N18" s="13">
        <f>IF(H18=0,0,L18/H18)</f>
        <v>0.15136110231789243</v>
      </c>
      <c r="O18" s="11"/>
      <c r="P18" s="5">
        <f>SUM(OSRRefP16x_0)</f>
        <v>912081.29</v>
      </c>
      <c r="Q18" s="5"/>
      <c r="R18" s="13">
        <f>IF(P$12=0,0,P18/P$12)</f>
        <v>0.24622742076445045</v>
      </c>
      <c r="S18" s="5"/>
      <c r="T18" s="5">
        <f>SUM(OSRRefT16x_0)</f>
        <v>929718</v>
      </c>
      <c r="U18" s="5"/>
      <c r="V18" s="13">
        <f>IF(T$12=0,0,T18/T$12)</f>
        <v>0.27995121951219515</v>
      </c>
      <c r="W18" s="5"/>
      <c r="X18" s="5">
        <f>+P18-T18</f>
        <v>-17636.709999999963</v>
      </c>
      <c r="Y18" s="5"/>
      <c r="Z18" s="13">
        <f>IF(T18=0,0,X18/T18)</f>
        <v>-1.8969956481427661E-2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113724</v>
      </c>
      <c r="I19" s="3"/>
      <c r="J19" s="20">
        <f>IF(H$12=0,0,H19/H$12)</f>
        <v>0.26</v>
      </c>
      <c r="K19" s="3"/>
      <c r="L19" s="3">
        <f>+D19-H19</f>
        <v>-113724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929718</v>
      </c>
      <c r="U19" s="3"/>
      <c r="V19" s="20">
        <f>IF(T$12=0,0,T19/T$12)</f>
        <v>0.27995121951219515</v>
      </c>
      <c r="W19" s="3"/>
      <c r="X19" s="3">
        <f>+P19-T19</f>
        <v>-929718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125475.39</v>
      </c>
      <c r="E20" s="3"/>
      <c r="F20" s="20">
        <f>IF(D$12=0,0,D20/D$12)</f>
        <v>0.22500090376651147</v>
      </c>
      <c r="G20" s="3"/>
      <c r="H20" s="3"/>
      <c r="I20" s="3"/>
      <c r="J20" s="20">
        <f>IF(H$12=0,0,H20/H$12)</f>
        <v>0</v>
      </c>
      <c r="K20" s="3"/>
      <c r="L20" s="3">
        <f>+D20-H20</f>
        <v>125475.39</v>
      </c>
      <c r="M20" s="3"/>
      <c r="N20" s="20">
        <f>IF(H20=0,0,L20/H20)</f>
        <v>0</v>
      </c>
      <c r="O20" s="12"/>
      <c r="P20" s="3">
        <v>932399.29</v>
      </c>
      <c r="Q20" s="3"/>
      <c r="R20" s="20">
        <f>IF(P$12=0,0,P20/P$12)</f>
        <v>0.25171251161100439</v>
      </c>
      <c r="S20" s="3"/>
      <c r="T20" s="3"/>
      <c r="U20" s="3"/>
      <c r="V20" s="20">
        <f>IF(T$12=0,0,T20/T$12)</f>
        <v>0</v>
      </c>
      <c r="W20" s="3"/>
      <c r="X20" s="3">
        <f>+P20-T20</f>
        <v>932399.29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5462</v>
      </c>
      <c r="E21" s="3"/>
      <c r="F21" s="20">
        <f>IF(D$12=0,0,D21/D$12)</f>
        <v>9.7943902495356717E-3</v>
      </c>
      <c r="G21" s="3"/>
      <c r="H21" s="3"/>
      <c r="I21" s="3"/>
      <c r="J21" s="20">
        <f>IF(H$12=0,0,H21/H$12)</f>
        <v>0</v>
      </c>
      <c r="K21" s="3"/>
      <c r="L21" s="3">
        <f>+D21-H21</f>
        <v>5462</v>
      </c>
      <c r="M21" s="3"/>
      <c r="N21" s="20">
        <f>IF(H21=0,0,L21/H21)</f>
        <v>0</v>
      </c>
      <c r="O21" s="12"/>
      <c r="P21" s="3">
        <v>-20318</v>
      </c>
      <c r="Q21" s="3"/>
      <c r="R21" s="20">
        <f>IF(P$12=0,0,P21/P$12)</f>
        <v>-5.4850908465539335E-3</v>
      </c>
      <c r="S21" s="3"/>
      <c r="T21" s="3"/>
      <c r="U21" s="3"/>
      <c r="V21" s="20">
        <f>IF(T$12=0,0,T21/T$12)</f>
        <v>0</v>
      </c>
      <c r="W21" s="3"/>
      <c r="X21" s="3">
        <f>+P21-T21</f>
        <v>-20318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426728.77</v>
      </c>
      <c r="E23" s="15"/>
      <c r="F23" s="23">
        <f>IF(D$12=0,0,D23/D$12)</f>
        <v>0.76520470598395285</v>
      </c>
      <c r="G23" s="15"/>
      <c r="H23" s="21">
        <f>H12-H18</f>
        <v>323676</v>
      </c>
      <c r="I23" s="15"/>
      <c r="J23" s="23">
        <f>IF(H$12=0,0,H23/H$12)</f>
        <v>0.74</v>
      </c>
      <c r="K23" s="17"/>
      <c r="L23" s="21">
        <f>+D23-H23</f>
        <v>103052.77000000002</v>
      </c>
      <c r="M23" s="17"/>
      <c r="N23" s="23">
        <f>IF(H23=0,0,L23/H23)</f>
        <v>0.31838248742569736</v>
      </c>
      <c r="O23" s="28"/>
      <c r="P23" s="21">
        <f>P12-P18</f>
        <v>2792141.7699999996</v>
      </c>
      <c r="Q23" s="15"/>
      <c r="R23" s="23">
        <f>IF(P$12=0,0,P23/P$12)</f>
        <v>0.75377257923554952</v>
      </c>
      <c r="S23" s="15"/>
      <c r="T23" s="21">
        <f>T12-T18</f>
        <v>2391282</v>
      </c>
      <c r="U23" s="15"/>
      <c r="V23" s="23">
        <f>IF(T$12=0,0,T23/T$12)</f>
        <v>0.72004878048780485</v>
      </c>
      <c r="W23" s="17"/>
      <c r="X23" s="21">
        <f>+P23-T23</f>
        <v>400859.76999999955</v>
      </c>
      <c r="Y23" s="17"/>
      <c r="Z23" s="23">
        <f>IF(T23=0,0,X23/T23)</f>
        <v>0.16763383406892185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192317.94999999995</v>
      </c>
      <c r="E25" s="22"/>
      <c r="F25" s="33">
        <f t="shared" ref="F25:F56" si="0">IF(D$12=0,0,D25/D$12)</f>
        <v>0.34486214835054713</v>
      </c>
      <c r="G25" s="22"/>
      <c r="H25" s="22" cm="1">
        <f t="array" ref="H25">SUM(OSRRefH22x_0)</f>
        <v>194654.02737115388</v>
      </c>
      <c r="I25" s="22"/>
      <c r="J25" s="33">
        <f t="shared" ref="J25:J56" si="1">IF(H$12=0,0,H25/H$12)</f>
        <v>0.44502521118233623</v>
      </c>
      <c r="K25" s="5"/>
      <c r="L25" s="22">
        <f t="shared" ref="L25:L56" si="2">+D25-H25</f>
        <v>-2336.0773711539223</v>
      </c>
      <c r="M25" s="5"/>
      <c r="N25" s="33">
        <f t="shared" ref="N25:N56" si="3">IF(H25=0,0,L25/H25)</f>
        <v>-1.2001176665611131E-2</v>
      </c>
      <c r="O25" s="11"/>
      <c r="P25" s="22" cm="1">
        <f t="array" ref="P25">SUM(OSRRefP22x_0)</f>
        <v>1454664.6799999997</v>
      </c>
      <c r="Q25" s="22"/>
      <c r="R25" s="33">
        <f t="shared" ref="R25:R56" si="4">IF(P$12=0,0,P25/P$12)</f>
        <v>0.3927043961548039</v>
      </c>
      <c r="S25" s="22"/>
      <c r="T25" s="22" cm="1">
        <f t="array" ref="T25">SUM(OSRRefT22x_0)</f>
        <v>1676628.1258661542</v>
      </c>
      <c r="U25" s="22"/>
      <c r="V25" s="33">
        <f t="shared" ref="V25:V56" si="5">IF(T$12=0,0,T25/T$12)</f>
        <v>0.50485640646376218</v>
      </c>
      <c r="W25" s="5"/>
      <c r="X25" s="22">
        <f t="shared" ref="X25:X56" si="6">+P25-T25</f>
        <v>-221963.44586615451</v>
      </c>
      <c r="Y25" s="5"/>
      <c r="Z25" s="33">
        <f t="shared" ref="Z25:Z56" si="7">IF(T25=0,0,X25/T25)</f>
        <v>-0.1323868080475431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28253.299999999996</v>
      </c>
      <c r="E26" s="2"/>
      <c r="F26" s="6">
        <f t="shared" si="0"/>
        <v>5.0663465037935944E-2</v>
      </c>
      <c r="G26" s="2"/>
      <c r="H26" s="2">
        <f>SUM(OSRRefH22_0x_0)</f>
        <v>40278.000448076957</v>
      </c>
      <c r="I26" s="2"/>
      <c r="J26" s="6">
        <f t="shared" si="1"/>
        <v>9.208504903538399E-2</v>
      </c>
      <c r="K26" s="2"/>
      <c r="L26" s="2">
        <f t="shared" si="2"/>
        <v>-12024.700448076961</v>
      </c>
      <c r="M26" s="2"/>
      <c r="N26" s="6">
        <f t="shared" si="3"/>
        <v>-0.29854263653376245</v>
      </c>
      <c r="O26" s="14"/>
      <c r="P26" s="2">
        <f>SUM(OSRRefP22_0x_0)</f>
        <v>265930.88</v>
      </c>
      <c r="Q26" s="2"/>
      <c r="R26" s="6">
        <f t="shared" si="4"/>
        <v>7.1791270582932998E-2</v>
      </c>
      <c r="S26" s="2"/>
      <c r="T26" s="2">
        <f>SUM(OSRRefT22_0x_0)</f>
        <v>357415.48894307716</v>
      </c>
      <c r="U26" s="2"/>
      <c r="V26" s="6">
        <f t="shared" si="5"/>
        <v>0.10762285123248333</v>
      </c>
      <c r="W26" s="2"/>
      <c r="X26" s="2">
        <f t="shared" si="6"/>
        <v>-91484.608943077154</v>
      </c>
      <c r="Y26" s="2"/>
      <c r="Z26" s="6">
        <f t="shared" si="7"/>
        <v>-0.25596151194680655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4901.26</v>
      </c>
      <c r="E27" s="3"/>
      <c r="F27" s="8">
        <f t="shared" si="0"/>
        <v>8.7888782780005878E-3</v>
      </c>
      <c r="G27" s="3"/>
      <c r="H27" s="7">
        <v>5970.2377557692298</v>
      </c>
      <c r="I27" s="3"/>
      <c r="J27" s="8">
        <f t="shared" si="1"/>
        <v>1.3649377585206287E-2</v>
      </c>
      <c r="K27" s="3"/>
      <c r="L27" s="7">
        <f t="shared" si="2"/>
        <v>-1068.9777557692296</v>
      </c>
      <c r="M27" s="3"/>
      <c r="N27" s="8">
        <f t="shared" si="3"/>
        <v>-0.17905111982119012</v>
      </c>
      <c r="O27" s="12"/>
      <c r="P27" s="7">
        <v>35375.75</v>
      </c>
      <c r="Q27" s="3"/>
      <c r="R27" s="8">
        <f t="shared" si="4"/>
        <v>9.5501133238990212E-3</v>
      </c>
      <c r="S27" s="3"/>
      <c r="T27" s="7">
        <v>50586.577250769202</v>
      </c>
      <c r="U27" s="3"/>
      <c r="V27" s="8">
        <f t="shared" si="5"/>
        <v>1.5232332806615238E-2</v>
      </c>
      <c r="W27" s="3"/>
      <c r="X27" s="7">
        <f t="shared" si="6"/>
        <v>-15210.827250769202</v>
      </c>
      <c r="Y27" s="3"/>
      <c r="Z27" s="8">
        <f t="shared" si="7"/>
        <v>-0.30068899849392183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2359.66</v>
      </c>
      <c r="E28" s="3"/>
      <c r="F28" s="8">
        <f t="shared" si="0"/>
        <v>4.2313128700511423E-3</v>
      </c>
      <c r="G28" s="3"/>
      <c r="H28" s="7">
        <v>3666.32209615385</v>
      </c>
      <c r="I28" s="3"/>
      <c r="J28" s="8">
        <f t="shared" si="1"/>
        <v>8.3820806953677409E-3</v>
      </c>
      <c r="K28" s="3"/>
      <c r="L28" s="7">
        <f t="shared" si="2"/>
        <v>-1306.6620961538501</v>
      </c>
      <c r="M28" s="3"/>
      <c r="N28" s="8">
        <f t="shared" si="3"/>
        <v>-0.35639588172697706</v>
      </c>
      <c r="O28" s="12"/>
      <c r="P28" s="7">
        <v>22419.32</v>
      </c>
      <c r="Q28" s="3"/>
      <c r="R28" s="8">
        <f t="shared" si="4"/>
        <v>6.0523676994765005E-3</v>
      </c>
      <c r="S28" s="3"/>
      <c r="T28" s="7">
        <v>31074.332446153901</v>
      </c>
      <c r="U28" s="3"/>
      <c r="V28" s="8">
        <f t="shared" si="5"/>
        <v>9.3569203391008441E-3</v>
      </c>
      <c r="W28" s="3"/>
      <c r="X28" s="7">
        <f t="shared" si="6"/>
        <v>-8655.0124461539017</v>
      </c>
      <c r="Y28" s="3"/>
      <c r="Z28" s="8">
        <f t="shared" si="7"/>
        <v>-0.27852609420174818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12704.31</v>
      </c>
      <c r="E29" s="3"/>
      <c r="F29" s="8">
        <f t="shared" si="0"/>
        <v>2.2781210177788086E-2</v>
      </c>
      <c r="G29" s="3"/>
      <c r="H29" s="7">
        <v>23715.230769230799</v>
      </c>
      <c r="I29" s="3"/>
      <c r="J29" s="8">
        <f t="shared" si="1"/>
        <v>5.4218634589005027E-2</v>
      </c>
      <c r="K29" s="3"/>
      <c r="L29" s="7">
        <f t="shared" si="2"/>
        <v>-11010.920769230799</v>
      </c>
      <c r="M29" s="3"/>
      <c r="N29" s="8">
        <f t="shared" si="3"/>
        <v>-0.46429743300313403</v>
      </c>
      <c r="O29" s="12"/>
      <c r="P29" s="7">
        <v>133818.54</v>
      </c>
      <c r="Q29" s="3"/>
      <c r="R29" s="8">
        <f t="shared" si="4"/>
        <v>3.612593999671284E-2</v>
      </c>
      <c r="S29" s="3"/>
      <c r="T29" s="7">
        <v>215811.23076923101</v>
      </c>
      <c r="U29" s="3"/>
      <c r="V29" s="8">
        <f t="shared" si="5"/>
        <v>6.4983809325272812E-2</v>
      </c>
      <c r="W29" s="3"/>
      <c r="X29" s="7">
        <f t="shared" si="6"/>
        <v>-81992.690769231005</v>
      </c>
      <c r="Y29" s="3"/>
      <c r="Z29" s="8">
        <f t="shared" si="7"/>
        <v>-0.3799278215363433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170.41</v>
      </c>
      <c r="E30" s="3"/>
      <c r="F30" s="8">
        <f t="shared" si="0"/>
        <v>3.0557708576041262E-4</v>
      </c>
      <c r="G30" s="3"/>
      <c r="H30" s="7">
        <v>203.147134615385</v>
      </c>
      <c r="I30" s="3"/>
      <c r="J30" s="8">
        <f t="shared" si="1"/>
        <v>4.6444246597024462E-4</v>
      </c>
      <c r="K30" s="3"/>
      <c r="L30" s="7">
        <f t="shared" si="2"/>
        <v>-32.737134615385003</v>
      </c>
      <c r="M30" s="3"/>
      <c r="N30" s="8">
        <f t="shared" si="3"/>
        <v>-0.1611498713844311</v>
      </c>
      <c r="O30" s="12"/>
      <c r="P30" s="7">
        <v>1619.16</v>
      </c>
      <c r="Q30" s="3"/>
      <c r="R30" s="8">
        <f t="shared" si="4"/>
        <v>4.3711190545852284E-4</v>
      </c>
      <c r="S30" s="3"/>
      <c r="T30" s="7">
        <v>1721.7967846153899</v>
      </c>
      <c r="U30" s="3"/>
      <c r="V30" s="8">
        <f t="shared" si="5"/>
        <v>5.1845732749635344E-4</v>
      </c>
      <c r="W30" s="3"/>
      <c r="X30" s="7">
        <f t="shared" si="6"/>
        <v>-102.63678461538984</v>
      </c>
      <c r="Y30" s="3"/>
      <c r="Z30" s="8">
        <f t="shared" si="7"/>
        <v>-5.9610277782181219E-2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1311.04</v>
      </c>
      <c r="E31" s="3"/>
      <c r="F31" s="8">
        <f t="shared" si="0"/>
        <v>2.3509405698922091E-3</v>
      </c>
      <c r="G31" s="3"/>
      <c r="H31" s="7">
        <v>1557.60884615385</v>
      </c>
      <c r="I31" s="3"/>
      <c r="J31" s="8">
        <f t="shared" si="1"/>
        <v>3.5610627484084362E-3</v>
      </c>
      <c r="K31" s="3"/>
      <c r="L31" s="7">
        <f t="shared" si="2"/>
        <v>-246.56884615385002</v>
      </c>
      <c r="M31" s="3"/>
      <c r="N31" s="8">
        <f t="shared" si="3"/>
        <v>-0.15829959284238401</v>
      </c>
      <c r="O31" s="12"/>
      <c r="P31" s="7">
        <v>12202.33</v>
      </c>
      <c r="Q31" s="3"/>
      <c r="R31" s="8">
        <f t="shared" si="4"/>
        <v>3.2941671714553822E-3</v>
      </c>
      <c r="S31" s="3"/>
      <c r="T31" s="7">
        <v>13706.9578461539</v>
      </c>
      <c r="U31" s="3"/>
      <c r="V31" s="8">
        <f t="shared" si="5"/>
        <v>4.1273585805943697E-3</v>
      </c>
      <c r="W31" s="3"/>
      <c r="X31" s="7">
        <f t="shared" si="6"/>
        <v>-1504.6278461539005</v>
      </c>
      <c r="Y31" s="3"/>
      <c r="Z31" s="8">
        <f t="shared" si="7"/>
        <v>-0.10977110041788675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497.69</v>
      </c>
      <c r="E33" s="3"/>
      <c r="F33" s="8">
        <f t="shared" si="0"/>
        <v>8.9245149822252069E-4</v>
      </c>
      <c r="G33" s="3"/>
      <c r="H33" s="7"/>
      <c r="I33" s="3"/>
      <c r="J33" s="8">
        <f t="shared" si="1"/>
        <v>0</v>
      </c>
      <c r="K33" s="3"/>
      <c r="L33" s="7">
        <f t="shared" si="2"/>
        <v>497.69</v>
      </c>
      <c r="M33" s="3"/>
      <c r="N33" s="8">
        <f t="shared" si="3"/>
        <v>0</v>
      </c>
      <c r="O33" s="12"/>
      <c r="P33" s="7">
        <v>5260.2</v>
      </c>
      <c r="Q33" s="3"/>
      <c r="R33" s="8">
        <f t="shared" si="4"/>
        <v>1.420054871101634E-3</v>
      </c>
      <c r="S33" s="3"/>
      <c r="T33" s="7"/>
      <c r="U33" s="3"/>
      <c r="V33" s="8">
        <f t="shared" si="5"/>
        <v>0</v>
      </c>
      <c r="W33" s="3"/>
      <c r="X33" s="7">
        <f t="shared" si="6"/>
        <v>5260.2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2257.14</v>
      </c>
      <c r="E34" s="3"/>
      <c r="F34" s="8">
        <f t="shared" si="0"/>
        <v>4.0474752852136479E-3</v>
      </c>
      <c r="G34" s="3"/>
      <c r="H34" s="7">
        <v>2263.3519230769198</v>
      </c>
      <c r="I34" s="3"/>
      <c r="J34" s="8">
        <f t="shared" si="1"/>
        <v>5.1745585804227707E-3</v>
      </c>
      <c r="K34" s="3"/>
      <c r="L34" s="7">
        <f t="shared" si="2"/>
        <v>-6.2119230769199021</v>
      </c>
      <c r="M34" s="3"/>
      <c r="N34" s="8">
        <f t="shared" si="3"/>
        <v>-2.7445679187508261E-3</v>
      </c>
      <c r="O34" s="12"/>
      <c r="P34" s="7">
        <v>22650.799999999999</v>
      </c>
      <c r="Q34" s="3"/>
      <c r="R34" s="8">
        <f t="shared" si="4"/>
        <v>6.114858536623872E-3</v>
      </c>
      <c r="S34" s="3"/>
      <c r="T34" s="7">
        <v>19917.496923076898</v>
      </c>
      <c r="U34" s="3"/>
      <c r="V34" s="8">
        <f t="shared" si="5"/>
        <v>5.9974396034558558E-3</v>
      </c>
      <c r="W34" s="3"/>
      <c r="X34" s="7">
        <f t="shared" si="6"/>
        <v>2733.3030769231009</v>
      </c>
      <c r="Y34" s="3"/>
      <c r="Z34" s="8">
        <f t="shared" si="7"/>
        <v>0.13723125388091459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2227.35</v>
      </c>
      <c r="E35" s="3"/>
      <c r="F35" s="8">
        <f t="shared" si="0"/>
        <v>3.9940562289094246E-3</v>
      </c>
      <c r="G35" s="3"/>
      <c r="H35" s="7">
        <v>2902.1019230769198</v>
      </c>
      <c r="I35" s="3"/>
      <c r="J35" s="8">
        <f t="shared" si="1"/>
        <v>6.6348923710034743E-3</v>
      </c>
      <c r="K35" s="3"/>
      <c r="L35" s="7">
        <f t="shared" si="2"/>
        <v>-674.75192307691987</v>
      </c>
      <c r="M35" s="3"/>
      <c r="N35" s="8">
        <f t="shared" si="3"/>
        <v>-0.2325045573732028</v>
      </c>
      <c r="O35" s="12"/>
      <c r="P35" s="7">
        <v>20406.45</v>
      </c>
      <c r="Q35" s="3"/>
      <c r="R35" s="8">
        <f t="shared" si="4"/>
        <v>5.5089689982114635E-3</v>
      </c>
      <c r="S35" s="3"/>
      <c r="T35" s="7">
        <v>24597.096923076901</v>
      </c>
      <c r="U35" s="3"/>
      <c r="V35" s="8">
        <f t="shared" si="5"/>
        <v>7.4065332499478774E-3</v>
      </c>
      <c r="W35" s="3"/>
      <c r="X35" s="7">
        <f t="shared" si="6"/>
        <v>-4190.6469230768998</v>
      </c>
      <c r="Y35" s="3"/>
      <c r="Z35" s="8">
        <f t="shared" si="7"/>
        <v>-0.17037160670555601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1824.44</v>
      </c>
      <c r="E36" s="3"/>
      <c r="F36" s="8">
        <f t="shared" si="0"/>
        <v>3.271563044097924E-3</v>
      </c>
      <c r="G36" s="3"/>
      <c r="H36" s="7"/>
      <c r="I36" s="3"/>
      <c r="J36" s="8">
        <f t="shared" si="1"/>
        <v>0</v>
      </c>
      <c r="K36" s="3"/>
      <c r="L36" s="7">
        <f t="shared" si="2"/>
        <v>1824.44</v>
      </c>
      <c r="M36" s="3"/>
      <c r="N36" s="8">
        <f t="shared" si="3"/>
        <v>0</v>
      </c>
      <c r="O36" s="12"/>
      <c r="P36" s="7">
        <v>12178.33</v>
      </c>
      <c r="Q36" s="3"/>
      <c r="R36" s="8">
        <f t="shared" si="4"/>
        <v>3.2876880799937577E-3</v>
      </c>
      <c r="S36" s="3"/>
      <c r="T36" s="7"/>
      <c r="U36" s="3"/>
      <c r="V36" s="8">
        <f t="shared" si="5"/>
        <v>0</v>
      </c>
      <c r="W36" s="3"/>
      <c r="X36" s="7">
        <f t="shared" si="6"/>
        <v>12178.33</v>
      </c>
      <c r="Y36" s="3"/>
      <c r="Z36" s="8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90812.49</v>
      </c>
      <c r="E37" s="2"/>
      <c r="F37" s="6">
        <f t="shared" si="0"/>
        <v>0.16284382398243422</v>
      </c>
      <c r="G37" s="2"/>
      <c r="H37" s="2">
        <f>SUM(OSRRefH22_1x_0)</f>
        <v>92898.026923076904</v>
      </c>
      <c r="I37" s="2"/>
      <c r="J37" s="6">
        <f t="shared" si="1"/>
        <v>0.21238689282825082</v>
      </c>
      <c r="K37" s="2"/>
      <c r="L37" s="2">
        <f t="shared" si="2"/>
        <v>-2085.5369230768993</v>
      </c>
      <c r="M37" s="2"/>
      <c r="N37" s="6">
        <f t="shared" si="3"/>
        <v>-2.2449744005906637E-2</v>
      </c>
      <c r="O37" s="14"/>
      <c r="P37" s="2">
        <f>SUM(OSRRefP22_1x_0)</f>
        <v>698996.71</v>
      </c>
      <c r="Q37" s="2"/>
      <c r="R37" s="6">
        <f t="shared" si="4"/>
        <v>0.18870265064437022</v>
      </c>
      <c r="S37" s="2"/>
      <c r="T37" s="2">
        <f>SUM(OSRRefT22_1x_0)</f>
        <v>786122.63692307705</v>
      </c>
      <c r="U37" s="2"/>
      <c r="V37" s="6">
        <f t="shared" si="5"/>
        <v>0.2367126277997823</v>
      </c>
      <c r="W37" s="2"/>
      <c r="X37" s="2">
        <f t="shared" si="6"/>
        <v>-87125.926923077088</v>
      </c>
      <c r="Y37" s="2"/>
      <c r="Z37" s="6">
        <f t="shared" si="7"/>
        <v>-0.11082994284974707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12651.33</v>
      </c>
      <c r="E39" s="3"/>
      <c r="F39" s="8">
        <f t="shared" si="0"/>
        <v>2.2686207102830123E-2</v>
      </c>
      <c r="G39" s="3"/>
      <c r="H39" s="7">
        <v>17025.026923076901</v>
      </c>
      <c r="I39" s="3"/>
      <c r="J39" s="8">
        <f t="shared" si="1"/>
        <v>3.8923243994231596E-2</v>
      </c>
      <c r="K39" s="3"/>
      <c r="L39" s="7">
        <f t="shared" si="2"/>
        <v>-4373.6969230769009</v>
      </c>
      <c r="M39" s="3"/>
      <c r="N39" s="8">
        <f t="shared" si="3"/>
        <v>-0.25689809142965225</v>
      </c>
      <c r="O39" s="12"/>
      <c r="P39" s="7">
        <v>127654.94</v>
      </c>
      <c r="Q39" s="3"/>
      <c r="R39" s="8">
        <f t="shared" si="4"/>
        <v>3.4462001324509876E-2</v>
      </c>
      <c r="S39" s="3"/>
      <c r="T39" s="7">
        <v>149820.236923077</v>
      </c>
      <c r="U39" s="3"/>
      <c r="V39" s="8">
        <f t="shared" si="5"/>
        <v>4.5112989136728995E-2</v>
      </c>
      <c r="W39" s="3"/>
      <c r="X39" s="7">
        <f t="shared" si="6"/>
        <v>-22165.296923076996</v>
      </c>
      <c r="Y39" s="3"/>
      <c r="Z39" s="8">
        <f t="shared" si="7"/>
        <v>-0.14794594761225377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35891.199999999997</v>
      </c>
      <c r="E41" s="3"/>
      <c r="F41" s="8">
        <f t="shared" si="0"/>
        <v>6.4359652018332963E-2</v>
      </c>
      <c r="G41" s="3"/>
      <c r="H41" s="7">
        <v>57148</v>
      </c>
      <c r="I41" s="3"/>
      <c r="J41" s="8">
        <f t="shared" si="1"/>
        <v>0.13065386374028348</v>
      </c>
      <c r="K41" s="3"/>
      <c r="L41" s="7">
        <f t="shared" si="2"/>
        <v>-21256.800000000003</v>
      </c>
      <c r="M41" s="3"/>
      <c r="N41" s="8">
        <f t="shared" si="3"/>
        <v>-0.37196052355288028</v>
      </c>
      <c r="O41" s="12"/>
      <c r="P41" s="7">
        <v>243101.62</v>
      </c>
      <c r="Q41" s="3"/>
      <c r="R41" s="8">
        <f t="shared" si="4"/>
        <v>6.5628234602049057E-2</v>
      </c>
      <c r="S41" s="3"/>
      <c r="T41" s="7">
        <v>477402.4</v>
      </c>
      <c r="U41" s="3"/>
      <c r="V41" s="8">
        <f t="shared" si="5"/>
        <v>0.1437526046371575</v>
      </c>
      <c r="W41" s="3"/>
      <c r="X41" s="7">
        <f t="shared" si="6"/>
        <v>-234300.78000000003</v>
      </c>
      <c r="Y41" s="3"/>
      <c r="Z41" s="8">
        <f t="shared" si="7"/>
        <v>-0.49078257671096753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8928.9699999999993</v>
      </c>
      <c r="E42" s="3"/>
      <c r="F42" s="8">
        <f t="shared" si="0"/>
        <v>1.6011317595458902E-2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8928.9699999999993</v>
      </c>
      <c r="M42" s="3"/>
      <c r="N42" s="8">
        <f t="shared" si="3"/>
        <v>0</v>
      </c>
      <c r="O42" s="12"/>
      <c r="P42" s="7">
        <v>102639</v>
      </c>
      <c r="Q42" s="3"/>
      <c r="R42" s="8">
        <f t="shared" si="4"/>
        <v>2.7708644522071522E-2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102639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>
        <v>2590.8000000000002</v>
      </c>
      <c r="E43" s="3"/>
      <c r="F43" s="8">
        <f t="shared" si="0"/>
        <v>4.6457902340712228E-3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2590.8000000000002</v>
      </c>
      <c r="M43" s="3"/>
      <c r="N43" s="8">
        <f t="shared" si="3"/>
        <v>0</v>
      </c>
      <c r="O43" s="12"/>
      <c r="P43" s="7">
        <v>3969.8</v>
      </c>
      <c r="Q43" s="3"/>
      <c r="R43" s="8">
        <f t="shared" si="4"/>
        <v>1.0716957201816028E-3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3969.8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9165.19</v>
      </c>
      <c r="E44" s="3"/>
      <c r="F44" s="8">
        <f t="shared" si="0"/>
        <v>1.6434904352094808E-2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9165.19</v>
      </c>
      <c r="M44" s="3"/>
      <c r="N44" s="8">
        <f t="shared" si="3"/>
        <v>0</v>
      </c>
      <c r="O44" s="12"/>
      <c r="P44" s="7">
        <v>144810.25</v>
      </c>
      <c r="Q44" s="3"/>
      <c r="R44" s="8">
        <f t="shared" si="4"/>
        <v>3.9093285597115203E-2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144810.25</v>
      </c>
      <c r="Y44" s="3"/>
      <c r="Z44" s="8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21585</v>
      </c>
      <c r="E45" s="3"/>
      <c r="F45" s="8">
        <f t="shared" si="0"/>
        <v>3.8705952679646188E-2</v>
      </c>
      <c r="G45" s="3"/>
      <c r="H45" s="7">
        <v>18725</v>
      </c>
      <c r="I45" s="3"/>
      <c r="J45" s="8">
        <f t="shared" si="1"/>
        <v>4.280978509373571E-2</v>
      </c>
      <c r="K45" s="3"/>
      <c r="L45" s="7">
        <f t="shared" si="2"/>
        <v>2860</v>
      </c>
      <c r="M45" s="3"/>
      <c r="N45" s="8">
        <f t="shared" si="3"/>
        <v>0.1527369826435247</v>
      </c>
      <c r="O45" s="12"/>
      <c r="P45" s="7">
        <v>76821.100000000006</v>
      </c>
      <c r="Q45" s="3"/>
      <c r="R45" s="8">
        <f t="shared" si="4"/>
        <v>2.0738788878442979E-2</v>
      </c>
      <c r="S45" s="3"/>
      <c r="T45" s="7">
        <v>158900</v>
      </c>
      <c r="U45" s="3"/>
      <c r="V45" s="8">
        <f t="shared" si="5"/>
        <v>4.7847034025895817E-2</v>
      </c>
      <c r="W45" s="3"/>
      <c r="X45" s="7">
        <f t="shared" si="6"/>
        <v>-82078.899999999994</v>
      </c>
      <c r="Y45" s="3"/>
      <c r="Z45" s="8">
        <f t="shared" si="7"/>
        <v>-0.51654436752674637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6.96</v>
      </c>
      <c r="E48" s="2"/>
      <c r="F48" s="6">
        <f t="shared" si="0"/>
        <v>1.2480585158690639E-5</v>
      </c>
      <c r="G48" s="2"/>
      <c r="H48" s="2">
        <f>SUM(OSRRefH22_2x_0)</f>
        <v>600</v>
      </c>
      <c r="I48" s="2"/>
      <c r="J48" s="6">
        <f t="shared" si="1"/>
        <v>1.3717421124828531E-3</v>
      </c>
      <c r="K48" s="2"/>
      <c r="L48" s="2">
        <f t="shared" si="2"/>
        <v>-593.04</v>
      </c>
      <c r="M48" s="2"/>
      <c r="N48" s="6">
        <f t="shared" si="3"/>
        <v>-0.98839999999999995</v>
      </c>
      <c r="O48" s="14"/>
      <c r="P48" s="2">
        <f>SUM(OSRRefP22_2x_0)</f>
        <v>1450.34</v>
      </c>
      <c r="Q48" s="2"/>
      <c r="R48" s="6">
        <f t="shared" si="4"/>
        <v>3.9153689626887644E-4</v>
      </c>
      <c r="S48" s="2"/>
      <c r="T48" s="2">
        <f>SUM(OSRRefT22_2x_0)</f>
        <v>6000</v>
      </c>
      <c r="U48" s="2"/>
      <c r="V48" s="6">
        <f t="shared" si="5"/>
        <v>1.8066847335140017E-3</v>
      </c>
      <c r="W48" s="2"/>
      <c r="X48" s="2">
        <f t="shared" si="6"/>
        <v>-4549.66</v>
      </c>
      <c r="Y48" s="2"/>
      <c r="Z48" s="6">
        <f t="shared" si="7"/>
        <v>-0.7582766666666666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6.96</v>
      </c>
      <c r="E49" s="3"/>
      <c r="F49" s="8">
        <f t="shared" si="0"/>
        <v>1.2480585158690639E-5</v>
      </c>
      <c r="G49" s="3"/>
      <c r="H49" s="7">
        <v>600</v>
      </c>
      <c r="I49" s="3"/>
      <c r="J49" s="8">
        <f t="shared" si="1"/>
        <v>1.3717421124828531E-3</v>
      </c>
      <c r="K49" s="3"/>
      <c r="L49" s="7">
        <f t="shared" si="2"/>
        <v>-593.04</v>
      </c>
      <c r="M49" s="3"/>
      <c r="N49" s="8">
        <f t="shared" si="3"/>
        <v>-0.98839999999999995</v>
      </c>
      <c r="O49" s="12"/>
      <c r="P49" s="7">
        <v>1450.34</v>
      </c>
      <c r="Q49" s="3"/>
      <c r="R49" s="8">
        <f t="shared" si="4"/>
        <v>3.9153689626887644E-4</v>
      </c>
      <c r="S49" s="3"/>
      <c r="T49" s="7">
        <v>6000</v>
      </c>
      <c r="U49" s="3"/>
      <c r="V49" s="8">
        <f t="shared" si="5"/>
        <v>1.8066847335140017E-3</v>
      </c>
      <c r="W49" s="3"/>
      <c r="X49" s="7">
        <f t="shared" si="6"/>
        <v>-4549.66</v>
      </c>
      <c r="Y49" s="3"/>
      <c r="Z49" s="8">
        <f t="shared" si="7"/>
        <v>-0.7582766666666666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15</v>
      </c>
      <c r="I50" s="2"/>
      <c r="J50" s="6">
        <f t="shared" si="1"/>
        <v>3.4293552812071332E-5</v>
      </c>
      <c r="K50" s="2"/>
      <c r="L50" s="2">
        <f t="shared" si="2"/>
        <v>-15</v>
      </c>
      <c r="M50" s="2"/>
      <c r="N50" s="6">
        <f t="shared" si="3"/>
        <v>-1</v>
      </c>
      <c r="O50" s="14"/>
      <c r="P50" s="2">
        <f>SUM(OSRRefP22_3x_0)</f>
        <v>-23.9</v>
      </c>
      <c r="Q50" s="2"/>
      <c r="R50" s="6">
        <f t="shared" si="4"/>
        <v>-6.4520952472014471E-6</v>
      </c>
      <c r="S50" s="2"/>
      <c r="T50" s="2">
        <f>SUM(OSRRefT22_3x_0)</f>
        <v>150</v>
      </c>
      <c r="U50" s="2"/>
      <c r="V50" s="6">
        <f t="shared" si="5"/>
        <v>4.5167118337850047E-5</v>
      </c>
      <c r="W50" s="2"/>
      <c r="X50" s="2">
        <f t="shared" si="6"/>
        <v>-173.9</v>
      </c>
      <c r="Y50" s="2"/>
      <c r="Z50" s="6">
        <f t="shared" si="7"/>
        <v>-1.1593333333333333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/>
      <c r="E51" s="3"/>
      <c r="F51" s="8">
        <f t="shared" si="0"/>
        <v>0</v>
      </c>
      <c r="G51" s="3"/>
      <c r="H51" s="7">
        <v>15</v>
      </c>
      <c r="I51" s="3"/>
      <c r="J51" s="8">
        <f t="shared" si="1"/>
        <v>3.4293552812071332E-5</v>
      </c>
      <c r="K51" s="3"/>
      <c r="L51" s="7">
        <f t="shared" si="2"/>
        <v>-15</v>
      </c>
      <c r="M51" s="3"/>
      <c r="N51" s="8">
        <f t="shared" si="3"/>
        <v>-1</v>
      </c>
      <c r="O51" s="12"/>
      <c r="P51" s="7">
        <v>-23.9</v>
      </c>
      <c r="Q51" s="3"/>
      <c r="R51" s="8">
        <f t="shared" si="4"/>
        <v>-6.4520952472014471E-6</v>
      </c>
      <c r="S51" s="3"/>
      <c r="T51" s="7">
        <v>150</v>
      </c>
      <c r="U51" s="3"/>
      <c r="V51" s="8">
        <f t="shared" si="5"/>
        <v>4.5167118337850047E-5</v>
      </c>
      <c r="W51" s="3"/>
      <c r="X51" s="7">
        <f t="shared" si="6"/>
        <v>-173.9</v>
      </c>
      <c r="Y51" s="3"/>
      <c r="Z51" s="8">
        <f t="shared" si="7"/>
        <v>-1.1593333333333333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120.44</v>
      </c>
      <c r="E52" s="2"/>
      <c r="F52" s="6">
        <f t="shared" si="0"/>
        <v>2.1597150524607766E-4</v>
      </c>
      <c r="G52" s="2"/>
      <c r="H52" s="2">
        <f>SUM(OSRRefH22_4x_0)</f>
        <v>250</v>
      </c>
      <c r="I52" s="2"/>
      <c r="J52" s="6">
        <f t="shared" si="1"/>
        <v>5.7155921353452223E-4</v>
      </c>
      <c r="K52" s="2"/>
      <c r="L52" s="2">
        <f t="shared" si="2"/>
        <v>-129.56</v>
      </c>
      <c r="M52" s="2"/>
      <c r="N52" s="6">
        <f t="shared" si="3"/>
        <v>-0.51824000000000003</v>
      </c>
      <c r="O52" s="14"/>
      <c r="P52" s="2">
        <f>SUM(OSRRefP22_4x_0)</f>
        <v>611.27</v>
      </c>
      <c r="Q52" s="2"/>
      <c r="R52" s="6">
        <f t="shared" si="4"/>
        <v>1.6501975990614346E-4</v>
      </c>
      <c r="S52" s="2"/>
      <c r="T52" s="2">
        <f>SUM(OSRRefT22_4x_0)</f>
        <v>2500</v>
      </c>
      <c r="U52" s="2"/>
      <c r="V52" s="6">
        <f t="shared" si="5"/>
        <v>7.5278530563083407E-4</v>
      </c>
      <c r="W52" s="2"/>
      <c r="X52" s="2">
        <f t="shared" si="6"/>
        <v>-1888.73</v>
      </c>
      <c r="Y52" s="2"/>
      <c r="Z52" s="6">
        <f t="shared" si="7"/>
        <v>-0.75549200000000005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120.44</v>
      </c>
      <c r="E53" s="3"/>
      <c r="F53" s="8">
        <f t="shared" si="0"/>
        <v>2.1597150524607766E-4</v>
      </c>
      <c r="G53" s="3"/>
      <c r="H53" s="7">
        <v>250</v>
      </c>
      <c r="I53" s="3"/>
      <c r="J53" s="8">
        <f t="shared" si="1"/>
        <v>5.7155921353452223E-4</v>
      </c>
      <c r="K53" s="3"/>
      <c r="L53" s="7">
        <f t="shared" si="2"/>
        <v>-129.56</v>
      </c>
      <c r="M53" s="3"/>
      <c r="N53" s="8">
        <f t="shared" si="3"/>
        <v>-0.51824000000000003</v>
      </c>
      <c r="O53" s="12"/>
      <c r="P53" s="7">
        <v>611.27</v>
      </c>
      <c r="Q53" s="3"/>
      <c r="R53" s="8">
        <f t="shared" si="4"/>
        <v>1.6501975990614346E-4</v>
      </c>
      <c r="S53" s="3"/>
      <c r="T53" s="7">
        <v>2500</v>
      </c>
      <c r="U53" s="3"/>
      <c r="V53" s="8">
        <f t="shared" si="5"/>
        <v>7.5278530563083407E-4</v>
      </c>
      <c r="W53" s="3"/>
      <c r="X53" s="7">
        <f t="shared" si="6"/>
        <v>-1888.73</v>
      </c>
      <c r="Y53" s="3"/>
      <c r="Z53" s="8">
        <f t="shared" si="7"/>
        <v>-0.75549200000000005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4.9045471936113173E-4</v>
      </c>
      <c r="G54" s="2"/>
      <c r="H54" s="2">
        <f>SUM(OSRRefH22_5x_0)</f>
        <v>0</v>
      </c>
      <c r="I54" s="2"/>
      <c r="J54" s="6">
        <f t="shared" si="1"/>
        <v>0</v>
      </c>
      <c r="K54" s="2"/>
      <c r="L54" s="2">
        <f t="shared" si="2"/>
        <v>273.51</v>
      </c>
      <c r="M54" s="2"/>
      <c r="N54" s="6">
        <f t="shared" si="3"/>
        <v>0</v>
      </c>
      <c r="O54" s="14"/>
      <c r="P54" s="2">
        <f>SUM(OSRRefP22_5x_0)</f>
        <v>2735.1</v>
      </c>
      <c r="Q54" s="2"/>
      <c r="R54" s="6">
        <f t="shared" si="4"/>
        <v>7.3837346069542589E-4</v>
      </c>
      <c r="S54" s="2"/>
      <c r="T54" s="2">
        <f>SUM(OSRRefT22_5x_0)</f>
        <v>0</v>
      </c>
      <c r="U54" s="2"/>
      <c r="V54" s="6">
        <f t="shared" si="5"/>
        <v>0</v>
      </c>
      <c r="W54" s="2"/>
      <c r="X54" s="2">
        <f t="shared" si="6"/>
        <v>2735.1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273.51</v>
      </c>
      <c r="E55" s="3"/>
      <c r="F55" s="8">
        <f t="shared" si="0"/>
        <v>4.9045471936113173E-4</v>
      </c>
      <c r="G55" s="3"/>
      <c r="H55" s="7"/>
      <c r="I55" s="3"/>
      <c r="J55" s="8">
        <f t="shared" si="1"/>
        <v>0</v>
      </c>
      <c r="K55" s="3"/>
      <c r="L55" s="7">
        <f t="shared" si="2"/>
        <v>273.51</v>
      </c>
      <c r="M55" s="3"/>
      <c r="N55" s="8">
        <f t="shared" si="3"/>
        <v>0</v>
      </c>
      <c r="O55" s="12"/>
      <c r="P55" s="7">
        <v>2735.1</v>
      </c>
      <c r="Q55" s="3"/>
      <c r="R55" s="8">
        <f t="shared" si="4"/>
        <v>7.3837346069542589E-4</v>
      </c>
      <c r="S55" s="3"/>
      <c r="T55" s="7"/>
      <c r="U55" s="3"/>
      <c r="V55" s="8">
        <f t="shared" si="5"/>
        <v>0</v>
      </c>
      <c r="W55" s="3"/>
      <c r="X55" s="7">
        <f t="shared" si="6"/>
        <v>2735.1</v>
      </c>
      <c r="Y55" s="3"/>
      <c r="Z55" s="8">
        <f t="shared" si="7"/>
        <v>0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4862.92</v>
      </c>
      <c r="E56" s="2"/>
      <c r="F56" s="6">
        <f t="shared" si="0"/>
        <v>8.7201274683764204E-3</v>
      </c>
      <c r="G56" s="2"/>
      <c r="H56" s="2">
        <f>SUM(OSRRefH22_6x_0)</f>
        <v>6000</v>
      </c>
      <c r="I56" s="2"/>
      <c r="J56" s="6">
        <f t="shared" si="1"/>
        <v>1.3717421124828532E-2</v>
      </c>
      <c r="K56" s="2"/>
      <c r="L56" s="2">
        <f t="shared" si="2"/>
        <v>-1137.08</v>
      </c>
      <c r="M56" s="2"/>
      <c r="N56" s="6">
        <f t="shared" si="3"/>
        <v>-0.18951333333333331</v>
      </c>
      <c r="O56" s="14"/>
      <c r="P56" s="2">
        <f>SUM(OSRRefP22_6x_0)</f>
        <v>33566.69</v>
      </c>
      <c r="Q56" s="2"/>
      <c r="R56" s="6">
        <f t="shared" si="4"/>
        <v>9.0617356072503919E-3</v>
      </c>
      <c r="S56" s="2"/>
      <c r="T56" s="2">
        <f>SUM(OSRRefT22_6x_0)</f>
        <v>54000</v>
      </c>
      <c r="U56" s="2"/>
      <c r="V56" s="6">
        <f t="shared" si="5"/>
        <v>1.6260162601626018E-2</v>
      </c>
      <c r="W56" s="2"/>
      <c r="X56" s="2">
        <f t="shared" si="6"/>
        <v>-20433.309999999998</v>
      </c>
      <c r="Y56" s="2"/>
      <c r="Z56" s="6">
        <f t="shared" si="7"/>
        <v>-0.37839462962962961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7">
        <v>4862.92</v>
      </c>
      <c r="E57" s="3"/>
      <c r="F57" s="8">
        <f t="shared" ref="F57:F87" si="8">IF(D$12=0,0,D57/D$12)</f>
        <v>8.7201274683764204E-3</v>
      </c>
      <c r="G57" s="3"/>
      <c r="H57" s="7">
        <v>6000</v>
      </c>
      <c r="I57" s="3"/>
      <c r="J57" s="8">
        <f t="shared" ref="J57:J87" si="9">IF(H$12=0,0,H57/H$12)</f>
        <v>1.3717421124828532E-2</v>
      </c>
      <c r="K57" s="3"/>
      <c r="L57" s="7">
        <f t="shared" ref="L57:L87" si="10">+D57-H57</f>
        <v>-1137.08</v>
      </c>
      <c r="M57" s="3"/>
      <c r="N57" s="8">
        <f t="shared" ref="N57:N87" si="11">IF(H57=0,0,L57/H57)</f>
        <v>-0.18951333333333331</v>
      </c>
      <c r="O57" s="12"/>
      <c r="P57" s="7">
        <v>33566.69</v>
      </c>
      <c r="Q57" s="3"/>
      <c r="R57" s="8">
        <f t="shared" ref="R57:R87" si="12">IF(P$12=0,0,P57/P$12)</f>
        <v>9.0617356072503919E-3</v>
      </c>
      <c r="S57" s="3"/>
      <c r="T57" s="7">
        <v>54000</v>
      </c>
      <c r="U57" s="3"/>
      <c r="V57" s="8">
        <f t="shared" ref="V57:V87" si="13">IF(T$12=0,0,T57/T$12)</f>
        <v>1.6260162601626018E-2</v>
      </c>
      <c r="W57" s="3"/>
      <c r="X57" s="7">
        <f t="shared" ref="X57:X87" si="14">+P57-T57</f>
        <v>-20433.309999999998</v>
      </c>
      <c r="Y57" s="3"/>
      <c r="Z57" s="8">
        <f t="shared" ref="Z57:Z87" si="15">IF(T57=0,0,X57/T57)</f>
        <v>-0.37839462962962961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SUM(OSRRefP22_7x_0)</f>
        <v>34.47</v>
      </c>
      <c r="Q58" s="2"/>
      <c r="R58" s="6">
        <f t="shared" si="12"/>
        <v>9.3055951117587408E-6</v>
      </c>
      <c r="S58" s="2"/>
      <c r="T58" s="2">
        <f>SUM(OSRRefT22_7x_0)</f>
        <v>500</v>
      </c>
      <c r="U58" s="2"/>
      <c r="V58" s="6">
        <f t="shared" si="13"/>
        <v>1.5055706112616682E-4</v>
      </c>
      <c r="W58" s="2"/>
      <c r="X58" s="2">
        <f t="shared" si="14"/>
        <v>-465.53</v>
      </c>
      <c r="Y58" s="2"/>
      <c r="Z58" s="6">
        <f t="shared" si="15"/>
        <v>-0.93106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>
        <v>34.47</v>
      </c>
      <c r="Q59" s="3"/>
      <c r="R59" s="8">
        <f t="shared" si="12"/>
        <v>9.3055951117587408E-6</v>
      </c>
      <c r="S59" s="3"/>
      <c r="T59" s="7">
        <v>500</v>
      </c>
      <c r="U59" s="3"/>
      <c r="V59" s="8">
        <f t="shared" si="13"/>
        <v>1.5055706112616682E-4</v>
      </c>
      <c r="W59" s="3"/>
      <c r="X59" s="7">
        <f t="shared" si="14"/>
        <v>-465.53</v>
      </c>
      <c r="Y59" s="3"/>
      <c r="Z59" s="8">
        <f t="shared" si="15"/>
        <v>-0.93106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656.03</v>
      </c>
      <c r="E60" s="2"/>
      <c r="F60" s="6">
        <f t="shared" si="8"/>
        <v>1.1763848105827328E-3</v>
      </c>
      <c r="G60" s="2"/>
      <c r="H60" s="2">
        <f>SUM(OSRRefH22_8x_0)</f>
        <v>500</v>
      </c>
      <c r="I60" s="2"/>
      <c r="J60" s="6">
        <f t="shared" si="9"/>
        <v>1.1431184270690445E-3</v>
      </c>
      <c r="K60" s="2"/>
      <c r="L60" s="2">
        <f t="shared" si="10"/>
        <v>156.02999999999997</v>
      </c>
      <c r="M60" s="2"/>
      <c r="N60" s="6">
        <f t="shared" si="11"/>
        <v>0.31205999999999995</v>
      </c>
      <c r="O60" s="14"/>
      <c r="P60" s="2">
        <f>SUM(OSRRefP22_8x_0)</f>
        <v>7407.15</v>
      </c>
      <c r="Q60" s="2"/>
      <c r="R60" s="6">
        <f t="shared" si="12"/>
        <v>1.9996500966656151E-3</v>
      </c>
      <c r="S60" s="2"/>
      <c r="T60" s="2">
        <f>SUM(OSRRefT22_8x_0)</f>
        <v>5000</v>
      </c>
      <c r="U60" s="2"/>
      <c r="V60" s="6">
        <f t="shared" si="13"/>
        <v>1.5055706112616681E-3</v>
      </c>
      <c r="W60" s="2"/>
      <c r="X60" s="2">
        <f t="shared" si="14"/>
        <v>2407.1499999999996</v>
      </c>
      <c r="Y60" s="2"/>
      <c r="Z60" s="6">
        <f t="shared" si="15"/>
        <v>0.48142999999999991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7">
        <v>656.03</v>
      </c>
      <c r="E61" s="3"/>
      <c r="F61" s="8">
        <f t="shared" si="8"/>
        <v>1.1763848105827328E-3</v>
      </c>
      <c r="G61" s="3"/>
      <c r="H61" s="7">
        <v>500</v>
      </c>
      <c r="I61" s="3"/>
      <c r="J61" s="8">
        <f t="shared" si="9"/>
        <v>1.1431184270690445E-3</v>
      </c>
      <c r="K61" s="3"/>
      <c r="L61" s="7">
        <f t="shared" si="10"/>
        <v>156.02999999999997</v>
      </c>
      <c r="M61" s="3"/>
      <c r="N61" s="8">
        <f t="shared" si="11"/>
        <v>0.31205999999999995</v>
      </c>
      <c r="O61" s="12"/>
      <c r="P61" s="7">
        <v>7407.15</v>
      </c>
      <c r="Q61" s="3"/>
      <c r="R61" s="8">
        <f t="shared" si="12"/>
        <v>1.9996500966656151E-3</v>
      </c>
      <c r="S61" s="3"/>
      <c r="T61" s="7">
        <v>5000</v>
      </c>
      <c r="U61" s="3"/>
      <c r="V61" s="8">
        <f t="shared" si="13"/>
        <v>1.5055706112616681E-3</v>
      </c>
      <c r="W61" s="3"/>
      <c r="X61" s="7">
        <f t="shared" si="14"/>
        <v>2407.1499999999996</v>
      </c>
      <c r="Y61" s="3"/>
      <c r="Z61" s="8">
        <f t="shared" si="15"/>
        <v>0.48142999999999991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2134.44</v>
      </c>
      <c r="E62" s="2"/>
      <c r="F62" s="6">
        <f t="shared" si="8"/>
        <v>3.8274511761660418E-3</v>
      </c>
      <c r="G62" s="2"/>
      <c r="H62" s="2">
        <f>SUM(OSRRefH22_9x_0)</f>
        <v>150</v>
      </c>
      <c r="I62" s="2"/>
      <c r="J62" s="6">
        <f t="shared" si="9"/>
        <v>3.4293552812071328E-4</v>
      </c>
      <c r="K62" s="2"/>
      <c r="L62" s="2">
        <f t="shared" si="10"/>
        <v>1984.44</v>
      </c>
      <c r="M62" s="2"/>
      <c r="N62" s="6">
        <f t="shared" si="11"/>
        <v>13.2296</v>
      </c>
      <c r="O62" s="14"/>
      <c r="P62" s="2">
        <f>SUM(OSRRefP22_9x_0)</f>
        <v>12088.71</v>
      </c>
      <c r="Q62" s="2"/>
      <c r="R62" s="6">
        <f t="shared" si="12"/>
        <v>3.2634940726274731E-3</v>
      </c>
      <c r="S62" s="2"/>
      <c r="T62" s="2">
        <f>SUM(OSRRefT22_9x_0)</f>
        <v>3150</v>
      </c>
      <c r="U62" s="2"/>
      <c r="V62" s="6">
        <f t="shared" si="13"/>
        <v>9.4850948509485095E-4</v>
      </c>
      <c r="W62" s="2"/>
      <c r="X62" s="2">
        <f t="shared" si="14"/>
        <v>8938.7099999999991</v>
      </c>
      <c r="Y62" s="2"/>
      <c r="Z62" s="6">
        <f t="shared" si="15"/>
        <v>2.8376857142857141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7">
        <v>2134.44</v>
      </c>
      <c r="E63" s="3"/>
      <c r="F63" s="8">
        <f t="shared" si="8"/>
        <v>3.8274511761660418E-3</v>
      </c>
      <c r="G63" s="3"/>
      <c r="H63" s="7">
        <v>150</v>
      </c>
      <c r="I63" s="3"/>
      <c r="J63" s="8">
        <f t="shared" si="9"/>
        <v>3.4293552812071328E-4</v>
      </c>
      <c r="K63" s="3"/>
      <c r="L63" s="7">
        <f t="shared" si="10"/>
        <v>1984.44</v>
      </c>
      <c r="M63" s="3"/>
      <c r="N63" s="8">
        <f t="shared" si="11"/>
        <v>13.2296</v>
      </c>
      <c r="O63" s="12"/>
      <c r="P63" s="7">
        <v>12088.71</v>
      </c>
      <c r="Q63" s="3"/>
      <c r="R63" s="8">
        <f t="shared" si="12"/>
        <v>3.2634940726274731E-3</v>
      </c>
      <c r="S63" s="3"/>
      <c r="T63" s="7">
        <v>3150</v>
      </c>
      <c r="U63" s="3"/>
      <c r="V63" s="8">
        <f t="shared" si="13"/>
        <v>9.4850948509485095E-4</v>
      </c>
      <c r="W63" s="3"/>
      <c r="X63" s="7">
        <f t="shared" si="14"/>
        <v>8938.7099999999991</v>
      </c>
      <c r="Y63" s="3"/>
      <c r="Z63" s="8">
        <f t="shared" si="15"/>
        <v>2.8376857142857141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43399.74</v>
      </c>
      <c r="E64" s="2"/>
      <c r="F64" s="6">
        <f t="shared" si="8"/>
        <v>7.7823872260780524E-2</v>
      </c>
      <c r="G64" s="2"/>
      <c r="H64" s="2">
        <f>SUM(OSRRefH22_10x_0)</f>
        <v>34992</v>
      </c>
      <c r="I64" s="2"/>
      <c r="J64" s="6">
        <f t="shared" si="9"/>
        <v>0.08</v>
      </c>
      <c r="K64" s="2"/>
      <c r="L64" s="2">
        <f t="shared" si="10"/>
        <v>8407.739999999998</v>
      </c>
      <c r="M64" s="2"/>
      <c r="N64" s="6">
        <f t="shared" si="11"/>
        <v>0.2402760631001371</v>
      </c>
      <c r="O64" s="14"/>
      <c r="P64" s="2">
        <f>SUM(OSRRefP22_10x_0)</f>
        <v>289247.76</v>
      </c>
      <c r="Q64" s="2"/>
      <c r="R64" s="6">
        <f t="shared" si="12"/>
        <v>7.80859455045885E-2</v>
      </c>
      <c r="S64" s="2"/>
      <c r="T64" s="2">
        <f>SUM(OSRRefT22_10x_0)</f>
        <v>265680</v>
      </c>
      <c r="U64" s="2"/>
      <c r="V64" s="6">
        <f t="shared" si="13"/>
        <v>0.08</v>
      </c>
      <c r="W64" s="2"/>
      <c r="X64" s="2">
        <f t="shared" si="14"/>
        <v>23567.760000000009</v>
      </c>
      <c r="Y64" s="2"/>
      <c r="Z64" s="6">
        <f t="shared" si="15"/>
        <v>8.8707317073170769E-2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7">
        <v>43399.74</v>
      </c>
      <c r="E65" s="3"/>
      <c r="F65" s="8">
        <f t="shared" si="8"/>
        <v>7.7823872260780524E-2</v>
      </c>
      <c r="G65" s="3"/>
      <c r="H65" s="7">
        <v>34992</v>
      </c>
      <c r="I65" s="3"/>
      <c r="J65" s="8">
        <f t="shared" si="9"/>
        <v>0.08</v>
      </c>
      <c r="K65" s="3"/>
      <c r="L65" s="7">
        <f t="shared" si="10"/>
        <v>8407.739999999998</v>
      </c>
      <c r="M65" s="3"/>
      <c r="N65" s="8">
        <f t="shared" si="11"/>
        <v>0.2402760631001371</v>
      </c>
      <c r="O65" s="12"/>
      <c r="P65" s="7">
        <v>289247.76</v>
      </c>
      <c r="Q65" s="3"/>
      <c r="R65" s="8">
        <f t="shared" si="12"/>
        <v>7.80859455045885E-2</v>
      </c>
      <c r="S65" s="3"/>
      <c r="T65" s="7">
        <v>265680</v>
      </c>
      <c r="U65" s="3"/>
      <c r="V65" s="8">
        <f t="shared" si="13"/>
        <v>0.08</v>
      </c>
      <c r="W65" s="3"/>
      <c r="X65" s="7">
        <f t="shared" si="14"/>
        <v>23567.760000000009</v>
      </c>
      <c r="Y65" s="3"/>
      <c r="Z65" s="8">
        <f t="shared" si="15"/>
        <v>8.8707317073170769E-2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547.15</v>
      </c>
      <c r="E66" s="2"/>
      <c r="F66" s="6">
        <f t="shared" si="8"/>
        <v>9.8114255310022746E-4</v>
      </c>
      <c r="G66" s="2"/>
      <c r="H66" s="2">
        <f>SUM(OSRRefH22_11x_0)</f>
        <v>250</v>
      </c>
      <c r="I66" s="2"/>
      <c r="J66" s="6">
        <f t="shared" si="9"/>
        <v>5.7155921353452223E-4</v>
      </c>
      <c r="K66" s="2"/>
      <c r="L66" s="2">
        <f t="shared" si="10"/>
        <v>297.14999999999998</v>
      </c>
      <c r="M66" s="2"/>
      <c r="N66" s="6">
        <f t="shared" si="11"/>
        <v>1.1885999999999999</v>
      </c>
      <c r="O66" s="14"/>
      <c r="P66" s="2">
        <f>SUM(OSRRefP22_11x_0)</f>
        <v>3430.57</v>
      </c>
      <c r="Q66" s="2"/>
      <c r="R66" s="6">
        <f t="shared" si="12"/>
        <v>9.2612403314610344E-4</v>
      </c>
      <c r="S66" s="2"/>
      <c r="T66" s="2">
        <f>SUM(OSRRefT22_11x_0)</f>
        <v>7900</v>
      </c>
      <c r="U66" s="2"/>
      <c r="V66" s="6">
        <f t="shared" si="13"/>
        <v>2.3788015657934358E-3</v>
      </c>
      <c r="W66" s="2"/>
      <c r="X66" s="2">
        <f t="shared" si="14"/>
        <v>-4469.43</v>
      </c>
      <c r="Y66" s="2"/>
      <c r="Z66" s="6">
        <f t="shared" si="15"/>
        <v>-0.56575063291139249</v>
      </c>
    </row>
    <row r="67" spans="1:26" s="70" customFormat="1" ht="15" hidden="1" customHeight="1" outlineLevel="2" x14ac:dyDescent="0.3">
      <c r="A67" s="26"/>
      <c r="B67" s="12" t="str">
        <f>CONCATENATE("          ","6371"," - ","COMPUTER SOFTWARE MAINTENANCE")</f>
        <v xml:space="preserve">          6371 - COMPUTER SOFTWARE MAINTENANCE</v>
      </c>
      <c r="C67" s="12"/>
      <c r="D67" s="7"/>
      <c r="E67" s="3"/>
      <c r="F67" s="8">
        <f t="shared" si="8"/>
        <v>0</v>
      </c>
      <c r="G67" s="3"/>
      <c r="H67" s="7">
        <v>0</v>
      </c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/>
      <c r="Q67" s="3"/>
      <c r="R67" s="8">
        <f t="shared" si="12"/>
        <v>0</v>
      </c>
      <c r="S67" s="3"/>
      <c r="T67" s="7">
        <v>0</v>
      </c>
      <c r="U67" s="3"/>
      <c r="V67" s="8">
        <f t="shared" si="13"/>
        <v>0</v>
      </c>
      <c r="W67" s="3"/>
      <c r="X67" s="7">
        <f t="shared" si="14"/>
        <v>0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/>
      <c r="E68" s="3"/>
      <c r="F68" s="8">
        <f t="shared" si="8"/>
        <v>0</v>
      </c>
      <c r="G68" s="3"/>
      <c r="H68" s="7"/>
      <c r="I68" s="3"/>
      <c r="J68" s="8">
        <f t="shared" si="9"/>
        <v>0</v>
      </c>
      <c r="K68" s="3"/>
      <c r="L68" s="7">
        <f t="shared" si="10"/>
        <v>0</v>
      </c>
      <c r="M68" s="3"/>
      <c r="N68" s="8">
        <f t="shared" si="11"/>
        <v>0</v>
      </c>
      <c r="O68" s="12"/>
      <c r="P68" s="7">
        <v>277.57</v>
      </c>
      <c r="Q68" s="3"/>
      <c r="R68" s="8">
        <f t="shared" si="12"/>
        <v>7.4933392375134129E-5</v>
      </c>
      <c r="S68" s="3"/>
      <c r="T68" s="7">
        <v>5400</v>
      </c>
      <c r="U68" s="3"/>
      <c r="V68" s="8">
        <f t="shared" si="13"/>
        <v>1.6260162601626016E-3</v>
      </c>
      <c r="W68" s="3"/>
      <c r="X68" s="7">
        <f t="shared" si="14"/>
        <v>-5122.43</v>
      </c>
      <c r="Y68" s="3"/>
      <c r="Z68" s="8">
        <f t="shared" si="15"/>
        <v>-0.94859814814814825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>
        <v>547.15</v>
      </c>
      <c r="E69" s="3"/>
      <c r="F69" s="8">
        <f t="shared" si="8"/>
        <v>9.8114255310022746E-4</v>
      </c>
      <c r="G69" s="3"/>
      <c r="H69" s="7">
        <v>250</v>
      </c>
      <c r="I69" s="3"/>
      <c r="J69" s="8">
        <f t="shared" si="9"/>
        <v>5.7155921353452223E-4</v>
      </c>
      <c r="K69" s="3"/>
      <c r="L69" s="7">
        <f t="shared" si="10"/>
        <v>297.14999999999998</v>
      </c>
      <c r="M69" s="3"/>
      <c r="N69" s="8">
        <f t="shared" si="11"/>
        <v>1.1885999999999999</v>
      </c>
      <c r="O69" s="12"/>
      <c r="P69" s="7">
        <v>3153</v>
      </c>
      <c r="Q69" s="3"/>
      <c r="R69" s="8">
        <f t="shared" si="12"/>
        <v>8.511906407709692E-4</v>
      </c>
      <c r="S69" s="3"/>
      <c r="T69" s="7">
        <v>2500</v>
      </c>
      <c r="U69" s="3"/>
      <c r="V69" s="8">
        <f t="shared" si="13"/>
        <v>7.5278530563083407E-4</v>
      </c>
      <c r="W69" s="3"/>
      <c r="X69" s="7">
        <f t="shared" si="14"/>
        <v>653</v>
      </c>
      <c r="Y69" s="3"/>
      <c r="Z69" s="8">
        <f t="shared" si="15"/>
        <v>0.26119999999999999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7171.61</v>
      </c>
      <c r="E70" s="2"/>
      <c r="F70" s="6">
        <f t="shared" si="8"/>
        <v>1.2860041570390427E-2</v>
      </c>
      <c r="G70" s="2"/>
      <c r="H70" s="2">
        <f>SUM(OSRRefH22_12x_0)</f>
        <v>7150</v>
      </c>
      <c r="I70" s="2"/>
      <c r="J70" s="6">
        <f t="shared" si="9"/>
        <v>1.6346593507087333E-2</v>
      </c>
      <c r="K70" s="2"/>
      <c r="L70" s="2">
        <f t="shared" si="10"/>
        <v>21.609999999999673</v>
      </c>
      <c r="M70" s="2"/>
      <c r="N70" s="6">
        <f t="shared" si="11"/>
        <v>3.0223776223775767E-3</v>
      </c>
      <c r="O70" s="14"/>
      <c r="P70" s="2">
        <f>SUM(OSRRefP22_12x_0)</f>
        <v>58932.490000000005</v>
      </c>
      <c r="Q70" s="2"/>
      <c r="R70" s="6">
        <f t="shared" si="12"/>
        <v>1.590954136547058E-2</v>
      </c>
      <c r="S70" s="2"/>
      <c r="T70" s="2">
        <f>SUM(OSRRefT22_12x_0)</f>
        <v>71500</v>
      </c>
      <c r="U70" s="2"/>
      <c r="V70" s="6">
        <f t="shared" si="13"/>
        <v>2.1529659741041856E-2</v>
      </c>
      <c r="W70" s="2"/>
      <c r="X70" s="2">
        <f t="shared" si="14"/>
        <v>-12567.509999999995</v>
      </c>
      <c r="Y70" s="2"/>
      <c r="Z70" s="6">
        <f t="shared" si="15"/>
        <v>-0.17576937062937056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7">
        <v>454.95</v>
      </c>
      <c r="E71" s="3"/>
      <c r="F71" s="8">
        <f t="shared" si="8"/>
        <v>8.1581066349803249E-4</v>
      </c>
      <c r="G71" s="3"/>
      <c r="H71" s="7">
        <v>450</v>
      </c>
      <c r="I71" s="3"/>
      <c r="J71" s="8">
        <f t="shared" si="9"/>
        <v>1.02880658436214E-3</v>
      </c>
      <c r="K71" s="3"/>
      <c r="L71" s="7">
        <f t="shared" si="10"/>
        <v>4.9499999999999886</v>
      </c>
      <c r="M71" s="3"/>
      <c r="N71" s="8">
        <f t="shared" si="11"/>
        <v>1.0999999999999975E-2</v>
      </c>
      <c r="O71" s="12"/>
      <c r="P71" s="7">
        <v>4778.87</v>
      </c>
      <c r="Q71" s="3"/>
      <c r="R71" s="8">
        <f t="shared" si="12"/>
        <v>1.2901139922173047E-3</v>
      </c>
      <c r="S71" s="3"/>
      <c r="T71" s="7">
        <v>4500</v>
      </c>
      <c r="U71" s="3"/>
      <c r="V71" s="8">
        <f t="shared" si="13"/>
        <v>1.3550135501355014E-3</v>
      </c>
      <c r="W71" s="3"/>
      <c r="X71" s="7">
        <f t="shared" si="14"/>
        <v>278.86999999999989</v>
      </c>
      <c r="Y71" s="3"/>
      <c r="Z71" s="8">
        <f t="shared" si="15"/>
        <v>6.1971111111111088E-2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7"/>
      <c r="E72" s="3"/>
      <c r="F72" s="8">
        <f t="shared" si="8"/>
        <v>0</v>
      </c>
      <c r="G72" s="3"/>
      <c r="H72" s="7">
        <v>500</v>
      </c>
      <c r="I72" s="3"/>
      <c r="J72" s="8">
        <f t="shared" si="9"/>
        <v>1.1431184270690445E-3</v>
      </c>
      <c r="K72" s="3"/>
      <c r="L72" s="7">
        <f t="shared" si="10"/>
        <v>-500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5000</v>
      </c>
      <c r="U72" s="3"/>
      <c r="V72" s="8">
        <f t="shared" si="13"/>
        <v>1.5055706112616681E-3</v>
      </c>
      <c r="W72" s="3"/>
      <c r="X72" s="7">
        <f t="shared" si="14"/>
        <v>-5000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4428.8599999999997</v>
      </c>
      <c r="E73" s="3"/>
      <c r="F73" s="8">
        <f t="shared" si="8"/>
        <v>7.9417764922296869E-3</v>
      </c>
      <c r="G73" s="3"/>
      <c r="H73" s="7">
        <v>4700</v>
      </c>
      <c r="I73" s="3"/>
      <c r="J73" s="8">
        <f t="shared" si="9"/>
        <v>1.0745313214449017E-2</v>
      </c>
      <c r="K73" s="3"/>
      <c r="L73" s="7">
        <f t="shared" si="10"/>
        <v>-271.14000000000033</v>
      </c>
      <c r="M73" s="3"/>
      <c r="N73" s="8">
        <f t="shared" si="11"/>
        <v>-5.7689361702127732E-2</v>
      </c>
      <c r="O73" s="12"/>
      <c r="P73" s="7">
        <v>44771.6</v>
      </c>
      <c r="Q73" s="3"/>
      <c r="R73" s="8">
        <f t="shared" si="12"/>
        <v>1.2086637136803528E-2</v>
      </c>
      <c r="S73" s="3"/>
      <c r="T73" s="7">
        <v>47000</v>
      </c>
      <c r="U73" s="3"/>
      <c r="V73" s="8">
        <f t="shared" si="13"/>
        <v>1.4152363745859681E-2</v>
      </c>
      <c r="W73" s="3"/>
      <c r="X73" s="7">
        <f t="shared" si="14"/>
        <v>-2228.4000000000015</v>
      </c>
      <c r="Y73" s="3"/>
      <c r="Z73" s="8">
        <f t="shared" si="15"/>
        <v>-4.741276595744684E-2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7">
        <v>2287.8000000000002</v>
      </c>
      <c r="E74" s="3"/>
      <c r="F74" s="8">
        <f t="shared" si="8"/>
        <v>4.102454414662708E-3</v>
      </c>
      <c r="G74" s="3"/>
      <c r="H74" s="7">
        <v>1500</v>
      </c>
      <c r="I74" s="3"/>
      <c r="J74" s="8">
        <f t="shared" si="9"/>
        <v>3.4293552812071329E-3</v>
      </c>
      <c r="K74" s="3"/>
      <c r="L74" s="7">
        <f t="shared" si="10"/>
        <v>787.80000000000018</v>
      </c>
      <c r="M74" s="3"/>
      <c r="N74" s="8">
        <f t="shared" si="11"/>
        <v>0.52520000000000011</v>
      </c>
      <c r="O74" s="12"/>
      <c r="P74" s="7">
        <v>9382.02</v>
      </c>
      <c r="Q74" s="3"/>
      <c r="R74" s="8">
        <f t="shared" si="12"/>
        <v>2.5327902364497461E-3</v>
      </c>
      <c r="S74" s="3"/>
      <c r="T74" s="7">
        <v>15000</v>
      </c>
      <c r="U74" s="3"/>
      <c r="V74" s="8">
        <f t="shared" si="13"/>
        <v>4.5167118337850042E-3</v>
      </c>
      <c r="W74" s="3"/>
      <c r="X74" s="7">
        <f t="shared" si="14"/>
        <v>-5617.98</v>
      </c>
      <c r="Y74" s="3"/>
      <c r="Z74" s="8">
        <f t="shared" si="15"/>
        <v>-0.37453199999999998</v>
      </c>
    </row>
    <row r="75" spans="1:26" s="69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13528.36</v>
      </c>
      <c r="E75" s="2"/>
      <c r="F75" s="6">
        <f t="shared" si="8"/>
        <v>2.4258886355951741E-2</v>
      </c>
      <c r="G75" s="2"/>
      <c r="H75" s="2">
        <f>SUM(OSRRefH22_13x_0)</f>
        <v>11396</v>
      </c>
      <c r="I75" s="2"/>
      <c r="J75" s="6">
        <f t="shared" si="9"/>
        <v>2.6053955189757658E-2</v>
      </c>
      <c r="K75" s="2"/>
      <c r="L75" s="2">
        <f t="shared" si="10"/>
        <v>2132.3600000000006</v>
      </c>
      <c r="M75" s="2"/>
      <c r="N75" s="6">
        <f t="shared" si="11"/>
        <v>0.18711477711477717</v>
      </c>
      <c r="O75" s="14"/>
      <c r="P75" s="2">
        <f>SUM(OSRRefP22_13x_0)</f>
        <v>77929.439999999988</v>
      </c>
      <c r="Q75" s="2"/>
      <c r="R75" s="6">
        <f t="shared" si="12"/>
        <v>2.1037998721383695E-2</v>
      </c>
      <c r="S75" s="2"/>
      <c r="T75" s="2">
        <f>SUM(OSRRefT22_13x_0)</f>
        <v>113960</v>
      </c>
      <c r="U75" s="2"/>
      <c r="V75" s="6">
        <f t="shared" si="13"/>
        <v>3.4314965371875943E-2</v>
      </c>
      <c r="W75" s="2"/>
      <c r="X75" s="2">
        <f t="shared" si="14"/>
        <v>-36030.560000000012</v>
      </c>
      <c r="Y75" s="2"/>
      <c r="Z75" s="6">
        <f t="shared" si="15"/>
        <v>-0.31616848016848026</v>
      </c>
    </row>
    <row r="76" spans="1:26" s="70" customFormat="1" ht="15" hidden="1" customHeight="1" outlineLevel="2" x14ac:dyDescent="0.3">
      <c r="A76" s="26"/>
      <c r="B76" s="12" t="str">
        <f>CONCATENATE("          ","6234"," - ","EXPENDABLE SUPPLIES &amp; EQUIPMEN")</f>
        <v xml:space="preserve">          6234 - EXPENDABLE SUPPLIES &amp; EQUIPMEN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>
        <v>21.98</v>
      </c>
      <c r="Q76" s="3"/>
      <c r="R76" s="8">
        <f t="shared" si="12"/>
        <v>5.9337679302714573E-6</v>
      </c>
      <c r="S76" s="3"/>
      <c r="T76" s="7"/>
      <c r="U76" s="3"/>
      <c r="V76" s="8">
        <f t="shared" si="13"/>
        <v>0</v>
      </c>
      <c r="W76" s="3"/>
      <c r="X76" s="7">
        <f t="shared" si="14"/>
        <v>21.98</v>
      </c>
      <c r="Y76" s="3"/>
      <c r="Z76" s="8">
        <f t="shared" si="15"/>
        <v>0</v>
      </c>
    </row>
    <row r="77" spans="1:26" s="70" customFormat="1" ht="15" hidden="1" customHeight="1" outlineLevel="2" x14ac:dyDescent="0.3">
      <c r="A77" s="26"/>
      <c r="B77" s="12" t="str">
        <f>CONCATENATE("          ","6237"," - ","JANITORIAL SUPPLIES")</f>
        <v xml:space="preserve">          6237 - JANITORIAL SUPPLIES</v>
      </c>
      <c r="C77" s="12"/>
      <c r="D77" s="7">
        <v>3703.4</v>
      </c>
      <c r="E77" s="3"/>
      <c r="F77" s="8">
        <f t="shared" si="8"/>
        <v>6.6408906719389246E-3</v>
      </c>
      <c r="G77" s="3"/>
      <c r="H77" s="7">
        <v>4000</v>
      </c>
      <c r="I77" s="3"/>
      <c r="J77" s="8">
        <f t="shared" si="9"/>
        <v>9.1449474165523556E-3</v>
      </c>
      <c r="K77" s="3"/>
      <c r="L77" s="7">
        <f t="shared" si="10"/>
        <v>-296.59999999999991</v>
      </c>
      <c r="M77" s="3"/>
      <c r="N77" s="8">
        <f t="shared" si="11"/>
        <v>-7.414999999999998E-2</v>
      </c>
      <c r="O77" s="12"/>
      <c r="P77" s="7">
        <v>14415.5</v>
      </c>
      <c r="Q77" s="3"/>
      <c r="R77" s="8">
        <f t="shared" si="12"/>
        <v>3.8916392902105636E-3</v>
      </c>
      <c r="S77" s="3"/>
      <c r="T77" s="7">
        <v>40000</v>
      </c>
      <c r="U77" s="3"/>
      <c r="V77" s="8">
        <f t="shared" si="13"/>
        <v>1.2044564890093345E-2</v>
      </c>
      <c r="W77" s="3"/>
      <c r="X77" s="7">
        <f t="shared" si="14"/>
        <v>-25584.5</v>
      </c>
      <c r="Y77" s="3"/>
      <c r="Z77" s="8">
        <f t="shared" si="15"/>
        <v>-0.63961250000000003</v>
      </c>
    </row>
    <row r="78" spans="1:26" s="70" customFormat="1" ht="15" hidden="1" customHeight="1" outlineLevel="2" x14ac:dyDescent="0.3">
      <c r="A78" s="26"/>
      <c r="B78" s="12" t="str">
        <f>CONCATENATE("          ","6239"," - ","KITCHEN SUPPLIES")</f>
        <v xml:space="preserve">          6239 - KITCHEN SUPPLIES</v>
      </c>
      <c r="C78" s="12"/>
      <c r="D78" s="7">
        <v>4375.37</v>
      </c>
      <c r="E78" s="3"/>
      <c r="F78" s="8">
        <f t="shared" si="8"/>
        <v>7.8458588916350946E-3</v>
      </c>
      <c r="G78" s="3"/>
      <c r="H78" s="7">
        <v>1500</v>
      </c>
      <c r="I78" s="3"/>
      <c r="J78" s="8">
        <f t="shared" si="9"/>
        <v>3.4293552812071329E-3</v>
      </c>
      <c r="K78" s="3"/>
      <c r="L78" s="7">
        <f t="shared" si="10"/>
        <v>2875.37</v>
      </c>
      <c r="M78" s="3"/>
      <c r="N78" s="8">
        <f t="shared" si="11"/>
        <v>1.9169133333333332</v>
      </c>
      <c r="O78" s="12"/>
      <c r="P78" s="7">
        <v>13276.75</v>
      </c>
      <c r="Q78" s="3"/>
      <c r="R78" s="8">
        <f t="shared" si="12"/>
        <v>3.5842198984636746E-3</v>
      </c>
      <c r="S78" s="3"/>
      <c r="T78" s="7">
        <v>15000</v>
      </c>
      <c r="U78" s="3"/>
      <c r="V78" s="8">
        <f t="shared" si="13"/>
        <v>4.5167118337850042E-3</v>
      </c>
      <c r="W78" s="3"/>
      <c r="X78" s="7">
        <f t="shared" si="14"/>
        <v>-1723.25</v>
      </c>
      <c r="Y78" s="3"/>
      <c r="Z78" s="8">
        <f t="shared" si="15"/>
        <v>-0.11488333333333334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/>
      <c r="E79" s="3"/>
      <c r="F79" s="8">
        <f t="shared" si="8"/>
        <v>0</v>
      </c>
      <c r="G79" s="3"/>
      <c r="H79" s="7">
        <v>500</v>
      </c>
      <c r="I79" s="3"/>
      <c r="J79" s="8">
        <f t="shared" si="9"/>
        <v>1.1431184270690445E-3</v>
      </c>
      <c r="K79" s="3"/>
      <c r="L79" s="7">
        <f t="shared" si="10"/>
        <v>-500</v>
      </c>
      <c r="M79" s="3"/>
      <c r="N79" s="8">
        <f t="shared" si="11"/>
        <v>-1</v>
      </c>
      <c r="O79" s="12"/>
      <c r="P79" s="7">
        <v>4254.41</v>
      </c>
      <c r="Q79" s="3"/>
      <c r="R79" s="8">
        <f t="shared" si="12"/>
        <v>1.1485296460521468E-3</v>
      </c>
      <c r="S79" s="3"/>
      <c r="T79" s="7">
        <v>5000</v>
      </c>
      <c r="U79" s="3"/>
      <c r="V79" s="8">
        <f t="shared" si="13"/>
        <v>1.5055706112616681E-3</v>
      </c>
      <c r="W79" s="3"/>
      <c r="X79" s="7">
        <f t="shared" si="14"/>
        <v>-745.59000000000015</v>
      </c>
      <c r="Y79" s="3"/>
      <c r="Z79" s="8">
        <f t="shared" si="15"/>
        <v>-0.14911800000000003</v>
      </c>
    </row>
    <row r="80" spans="1:26" s="70" customFormat="1" ht="15" hidden="1" customHeight="1" outlineLevel="2" x14ac:dyDescent="0.3">
      <c r="A80" s="26"/>
      <c r="B80" s="12" t="str">
        <f>CONCATENATE("          ","6243"," - ","PAPER SUPPLIES")</f>
        <v xml:space="preserve">          6243 - PAPER SUPPLIES</v>
      </c>
      <c r="C80" s="12"/>
      <c r="D80" s="7">
        <v>5449.59</v>
      </c>
      <c r="E80" s="3"/>
      <c r="F80" s="8">
        <f t="shared" si="8"/>
        <v>9.7721367923777197E-3</v>
      </c>
      <c r="G80" s="3"/>
      <c r="H80" s="7">
        <v>5000</v>
      </c>
      <c r="I80" s="3"/>
      <c r="J80" s="8">
        <f t="shared" si="9"/>
        <v>1.1431184270690443E-2</v>
      </c>
      <c r="K80" s="3"/>
      <c r="L80" s="7">
        <f t="shared" si="10"/>
        <v>449.59000000000015</v>
      </c>
      <c r="M80" s="3"/>
      <c r="N80" s="8">
        <f t="shared" si="11"/>
        <v>8.9918000000000026E-2</v>
      </c>
      <c r="O80" s="12"/>
      <c r="P80" s="7">
        <v>43508.98</v>
      </c>
      <c r="Q80" s="3"/>
      <c r="R80" s="8">
        <f t="shared" si="12"/>
        <v>1.1745777534250329E-2</v>
      </c>
      <c r="S80" s="3"/>
      <c r="T80" s="7">
        <v>50000</v>
      </c>
      <c r="U80" s="3"/>
      <c r="V80" s="8">
        <f t="shared" si="13"/>
        <v>1.5055706112616682E-2</v>
      </c>
      <c r="W80" s="3"/>
      <c r="X80" s="7">
        <f t="shared" si="14"/>
        <v>-6491.0199999999968</v>
      </c>
      <c r="Y80" s="3"/>
      <c r="Z80" s="8">
        <f t="shared" si="15"/>
        <v>-0.12982039999999995</v>
      </c>
    </row>
    <row r="81" spans="1:26" s="70" customFormat="1" ht="15" hidden="1" customHeight="1" outlineLevel="2" x14ac:dyDescent="0.3">
      <c r="A81" s="26"/>
      <c r="B81" s="12" t="str">
        <f>CONCATENATE("          ","6244"," - ","SAFETY SUPPLY EXPENSE")</f>
        <v xml:space="preserve">          6244 - SAFETY SUPPLY EXPENSE</v>
      </c>
      <c r="C81" s="12"/>
      <c r="D81" s="7"/>
      <c r="E81" s="3"/>
      <c r="F81" s="8">
        <f t="shared" si="8"/>
        <v>0</v>
      </c>
      <c r="G81" s="3"/>
      <c r="H81" s="7">
        <v>200</v>
      </c>
      <c r="I81" s="3"/>
      <c r="J81" s="8">
        <f t="shared" si="9"/>
        <v>4.5724737082761773E-4</v>
      </c>
      <c r="K81" s="3"/>
      <c r="L81" s="7">
        <f t="shared" si="10"/>
        <v>-200</v>
      </c>
      <c r="M81" s="3"/>
      <c r="N81" s="8">
        <f t="shared" si="11"/>
        <v>-1</v>
      </c>
      <c r="O81" s="12"/>
      <c r="P81" s="7"/>
      <c r="Q81" s="3"/>
      <c r="R81" s="8">
        <f t="shared" si="12"/>
        <v>0</v>
      </c>
      <c r="S81" s="3"/>
      <c r="T81" s="7">
        <v>2000</v>
      </c>
      <c r="U81" s="3"/>
      <c r="V81" s="8">
        <f t="shared" si="13"/>
        <v>6.0222824450466728E-4</v>
      </c>
      <c r="W81" s="3"/>
      <c r="X81" s="7">
        <f t="shared" si="14"/>
        <v>-2000</v>
      </c>
      <c r="Y81" s="3"/>
      <c r="Z81" s="8">
        <f t="shared" si="15"/>
        <v>-1</v>
      </c>
    </row>
    <row r="82" spans="1:26" s="70" customFormat="1" ht="15" hidden="1" customHeight="1" outlineLevel="2" x14ac:dyDescent="0.3">
      <c r="A82" s="26"/>
      <c r="B82" s="12" t="str">
        <f>CONCATENATE("          ","6247"," - ","STORE SUPPLIES")</f>
        <v xml:space="preserve">          6247 - STORE SUPPLIES</v>
      </c>
      <c r="C82" s="12"/>
      <c r="D82" s="7"/>
      <c r="E82" s="3"/>
      <c r="F82" s="8">
        <f t="shared" si="8"/>
        <v>0</v>
      </c>
      <c r="G82" s="3"/>
      <c r="H82" s="7"/>
      <c r="I82" s="3"/>
      <c r="J82" s="8">
        <f t="shared" si="9"/>
        <v>0</v>
      </c>
      <c r="K82" s="3"/>
      <c r="L82" s="7">
        <f t="shared" si="10"/>
        <v>0</v>
      </c>
      <c r="M82" s="3"/>
      <c r="N82" s="8">
        <f t="shared" si="11"/>
        <v>0</v>
      </c>
      <c r="O82" s="12"/>
      <c r="P82" s="7">
        <v>581.41999999999996</v>
      </c>
      <c r="Q82" s="3"/>
      <c r="R82" s="8">
        <f t="shared" si="12"/>
        <v>1.5696138990074752E-4</v>
      </c>
      <c r="S82" s="3"/>
      <c r="T82" s="7"/>
      <c r="U82" s="3"/>
      <c r="V82" s="8">
        <f t="shared" si="13"/>
        <v>0</v>
      </c>
      <c r="W82" s="3"/>
      <c r="X82" s="7">
        <f t="shared" si="14"/>
        <v>581.41999999999996</v>
      </c>
      <c r="Y82" s="3"/>
      <c r="Z82" s="8">
        <f t="shared" si="15"/>
        <v>0</v>
      </c>
    </row>
    <row r="83" spans="1:26" s="70" customFormat="1" ht="15" hidden="1" customHeight="1" outlineLevel="2" x14ac:dyDescent="0.3">
      <c r="A83" s="26"/>
      <c r="B83" s="12" t="str">
        <f>CONCATENATE("          ","6248"," - ","UNIFORMS")</f>
        <v xml:space="preserve">          6248 - UNIFORMS</v>
      </c>
      <c r="C83" s="12"/>
      <c r="D83" s="7"/>
      <c r="E83" s="3"/>
      <c r="F83" s="8">
        <f t="shared" si="8"/>
        <v>0</v>
      </c>
      <c r="G83" s="3"/>
      <c r="H83" s="7">
        <v>196</v>
      </c>
      <c r="I83" s="3"/>
      <c r="J83" s="8">
        <f t="shared" si="9"/>
        <v>4.481024234110654E-4</v>
      </c>
      <c r="K83" s="3"/>
      <c r="L83" s="7">
        <f t="shared" si="10"/>
        <v>-196</v>
      </c>
      <c r="M83" s="3"/>
      <c r="N83" s="8">
        <f t="shared" si="11"/>
        <v>-1</v>
      </c>
      <c r="O83" s="12"/>
      <c r="P83" s="7">
        <v>1870.4</v>
      </c>
      <c r="Q83" s="3"/>
      <c r="R83" s="8">
        <f t="shared" si="12"/>
        <v>5.0493719457596602E-4</v>
      </c>
      <c r="S83" s="3"/>
      <c r="T83" s="7">
        <v>1960</v>
      </c>
      <c r="U83" s="3"/>
      <c r="V83" s="8">
        <f t="shared" si="13"/>
        <v>5.9018367961457391E-4</v>
      </c>
      <c r="W83" s="3"/>
      <c r="X83" s="7">
        <f t="shared" si="14"/>
        <v>-89.599999999999909</v>
      </c>
      <c r="Y83" s="3"/>
      <c r="Z83" s="8">
        <f t="shared" si="15"/>
        <v>-4.5714285714285666E-2</v>
      </c>
    </row>
    <row r="84" spans="1:26" s="69" customFormat="1" ht="15" customHeight="1" outlineLevel="1" collapsed="1" x14ac:dyDescent="0.3">
      <c r="A84" s="25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SUM(OSRRefD22_14x_0)</f>
        <v>239</v>
      </c>
      <c r="E84" s="2"/>
      <c r="F84" s="6">
        <f t="shared" si="8"/>
        <v>4.2857181794929064E-4</v>
      </c>
      <c r="G84" s="2"/>
      <c r="H84" s="2">
        <f>SUM(OSRRefH22_14x_0)</f>
        <v>175</v>
      </c>
      <c r="I84" s="2"/>
      <c r="J84" s="6">
        <f t="shared" si="9"/>
        <v>4.000914494741655E-4</v>
      </c>
      <c r="K84" s="2"/>
      <c r="L84" s="2">
        <f t="shared" si="10"/>
        <v>64</v>
      </c>
      <c r="M84" s="2"/>
      <c r="N84" s="6">
        <f t="shared" si="11"/>
        <v>0.36571428571428571</v>
      </c>
      <c r="O84" s="14"/>
      <c r="P84" s="2">
        <f>SUM(OSRRefP22_14x_0)</f>
        <v>2015</v>
      </c>
      <c r="Q84" s="2"/>
      <c r="R84" s="6">
        <f t="shared" si="12"/>
        <v>5.4397372063225591E-4</v>
      </c>
      <c r="S84" s="2"/>
      <c r="T84" s="2">
        <f>SUM(OSRRefT22_14x_0)</f>
        <v>1750</v>
      </c>
      <c r="U84" s="2"/>
      <c r="V84" s="6">
        <f t="shared" si="13"/>
        <v>5.2694971394158388E-4</v>
      </c>
      <c r="W84" s="2"/>
      <c r="X84" s="2">
        <f t="shared" si="14"/>
        <v>265</v>
      </c>
      <c r="Y84" s="2"/>
      <c r="Z84" s="6">
        <f t="shared" si="15"/>
        <v>0.15142857142857144</v>
      </c>
    </row>
    <row r="85" spans="1:26" s="70" customFormat="1" ht="15" hidden="1" customHeight="1" outlineLevel="2" x14ac:dyDescent="0.3">
      <c r="A85" s="26"/>
      <c r="B85" s="12" t="str">
        <f>CONCATENATE("          ","6309"," - ","TELEPHONE")</f>
        <v xml:space="preserve">          6309 - TELEPHONE</v>
      </c>
      <c r="C85" s="12"/>
      <c r="D85" s="7">
        <v>239</v>
      </c>
      <c r="E85" s="3"/>
      <c r="F85" s="8">
        <f t="shared" si="8"/>
        <v>4.2857181794929064E-4</v>
      </c>
      <c r="G85" s="3"/>
      <c r="H85" s="7">
        <v>175</v>
      </c>
      <c r="I85" s="3"/>
      <c r="J85" s="8">
        <f t="shared" si="9"/>
        <v>4.000914494741655E-4</v>
      </c>
      <c r="K85" s="3"/>
      <c r="L85" s="7">
        <f t="shared" si="10"/>
        <v>64</v>
      </c>
      <c r="M85" s="3"/>
      <c r="N85" s="8">
        <f t="shared" si="11"/>
        <v>0.36571428571428571</v>
      </c>
      <c r="O85" s="12"/>
      <c r="P85" s="7">
        <v>2015</v>
      </c>
      <c r="Q85" s="3"/>
      <c r="R85" s="8">
        <f t="shared" si="12"/>
        <v>5.4397372063225591E-4</v>
      </c>
      <c r="S85" s="3"/>
      <c r="T85" s="7">
        <v>1750</v>
      </c>
      <c r="U85" s="3"/>
      <c r="V85" s="8">
        <f t="shared" si="13"/>
        <v>5.2694971394158388E-4</v>
      </c>
      <c r="W85" s="3"/>
      <c r="X85" s="7">
        <f t="shared" si="14"/>
        <v>265</v>
      </c>
      <c r="Y85" s="3"/>
      <c r="Z85" s="8">
        <f t="shared" si="15"/>
        <v>0.15142857142857144</v>
      </c>
    </row>
    <row r="86" spans="1:26" s="69" customFormat="1" ht="15" customHeight="1" outlineLevel="1" collapsed="1" x14ac:dyDescent="0.3">
      <c r="A86" s="25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SUM(OSRRefD22_15x_0)</f>
        <v>312</v>
      </c>
      <c r="E86" s="2"/>
      <c r="F86" s="6">
        <f t="shared" si="8"/>
        <v>5.5947450711371833E-4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312</v>
      </c>
      <c r="M86" s="2"/>
      <c r="N86" s="6">
        <f t="shared" si="11"/>
        <v>0</v>
      </c>
      <c r="O86" s="14"/>
      <c r="P86" s="2">
        <f>SUM(OSRRefP22_15x_0)</f>
        <v>312</v>
      </c>
      <c r="Q86" s="2"/>
      <c r="R86" s="6">
        <f t="shared" si="12"/>
        <v>8.4228189001123502E-5</v>
      </c>
      <c r="S86" s="2"/>
      <c r="T86" s="2">
        <f>SUM(OSRRefT22_15x_0)</f>
        <v>1000</v>
      </c>
      <c r="U86" s="2"/>
      <c r="V86" s="6">
        <f t="shared" si="13"/>
        <v>3.0111412225233364E-4</v>
      </c>
      <c r="W86" s="2"/>
      <c r="X86" s="2">
        <f t="shared" si="14"/>
        <v>-688</v>
      </c>
      <c r="Y86" s="2"/>
      <c r="Z86" s="6">
        <f t="shared" si="15"/>
        <v>-0.68799999999999994</v>
      </c>
    </row>
    <row r="87" spans="1:26" s="70" customFormat="1" ht="15" hidden="1" customHeight="1" outlineLevel="2" x14ac:dyDescent="0.3">
      <c r="A87" s="26"/>
      <c r="B87" s="12" t="str">
        <f>CONCATENATE("          ","6376"," - ","TRAINING")</f>
        <v xml:space="preserve">          6376 - TRAINING</v>
      </c>
      <c r="C87" s="12"/>
      <c r="D87" s="7">
        <v>312</v>
      </c>
      <c r="E87" s="3"/>
      <c r="F87" s="8">
        <f t="shared" si="8"/>
        <v>5.5947450711371833E-4</v>
      </c>
      <c r="G87" s="3"/>
      <c r="H87" s="7"/>
      <c r="I87" s="3"/>
      <c r="J87" s="8">
        <f t="shared" si="9"/>
        <v>0</v>
      </c>
      <c r="K87" s="3"/>
      <c r="L87" s="7">
        <f t="shared" si="10"/>
        <v>312</v>
      </c>
      <c r="M87" s="3"/>
      <c r="N87" s="8">
        <f t="shared" si="11"/>
        <v>0</v>
      </c>
      <c r="O87" s="12"/>
      <c r="P87" s="7">
        <v>312</v>
      </c>
      <c r="Q87" s="3"/>
      <c r="R87" s="8">
        <f t="shared" si="12"/>
        <v>8.4228189001123502E-5</v>
      </c>
      <c r="S87" s="3"/>
      <c r="T87" s="7">
        <v>1000</v>
      </c>
      <c r="U87" s="3"/>
      <c r="V87" s="8">
        <f t="shared" si="13"/>
        <v>3.0111412225233364E-4</v>
      </c>
      <c r="W87" s="3"/>
      <c r="X87" s="7">
        <f t="shared" si="14"/>
        <v>-688</v>
      </c>
      <c r="Y87" s="3"/>
      <c r="Z87" s="8">
        <f t="shared" si="15"/>
        <v>-0.68799999999999994</v>
      </c>
    </row>
    <row r="88" spans="1:26" s="65" customFormat="1" ht="15" customHeight="1" x14ac:dyDescent="0.3">
      <c r="A88" s="35"/>
      <c r="B88" s="35"/>
      <c r="C88" s="35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35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63" customFormat="1" ht="15" customHeight="1" x14ac:dyDescent="0.3">
      <c r="A89" s="11"/>
      <c r="B89" s="28" t="s">
        <v>291</v>
      </c>
      <c r="C89" s="11"/>
      <c r="D89" s="5">
        <f>SUM(0)</f>
        <v>0</v>
      </c>
      <c r="E89" s="5"/>
      <c r="F89" s="13">
        <f>IF(D$12=0,0,D89/D$12)</f>
        <v>0</v>
      </c>
      <c r="G89" s="5"/>
      <c r="H89" s="5">
        <f>SUM(0)</f>
        <v>0</v>
      </c>
      <c r="I89" s="5"/>
      <c r="J89" s="13">
        <f>IF(H$12=0,0,H89/H$12)</f>
        <v>0</v>
      </c>
      <c r="K89" s="5"/>
      <c r="L89" s="5">
        <f>+D89-H89</f>
        <v>0</v>
      </c>
      <c r="M89" s="5"/>
      <c r="N89" s="13">
        <f>IF(H89=0,0,L89/H89)</f>
        <v>0</v>
      </c>
      <c r="O89" s="11"/>
      <c r="P89" s="5">
        <f>SUM(0)</f>
        <v>0</v>
      </c>
      <c r="Q89" s="5"/>
      <c r="R89" s="13">
        <f>IF(P$12=0,0,P89/P$12)</f>
        <v>0</v>
      </c>
      <c r="S89" s="5"/>
      <c r="T89" s="5">
        <f>SUM(0)</f>
        <v>0</v>
      </c>
      <c r="U89" s="5"/>
      <c r="V89" s="13">
        <f>IF(T$12=0,0,T89/T$12)</f>
        <v>0</v>
      </c>
      <c r="W89" s="5"/>
      <c r="X89" s="5">
        <f>+P89-T89</f>
        <v>0</v>
      </c>
      <c r="Y89" s="5"/>
      <c r="Z89" s="13">
        <f>IF(T89=0,0,X89/T89)</f>
        <v>0</v>
      </c>
    </row>
    <row r="90" spans="1:26" ht="15" customHeight="1" x14ac:dyDescent="0.3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3">
      <c r="A91" s="11"/>
      <c r="B91" s="27" t="s">
        <v>292</v>
      </c>
      <c r="C91" s="27"/>
      <c r="D91" s="21">
        <f>+D23-D25+D89</f>
        <v>234410.82000000007</v>
      </c>
      <c r="E91" s="15"/>
      <c r="F91" s="23">
        <f>IF(D$12=0,0,D91/D$12)</f>
        <v>0.42034255763340572</v>
      </c>
      <c r="G91" s="15"/>
      <c r="H91" s="21">
        <f>+H23-H25+H89</f>
        <v>129021.97262884612</v>
      </c>
      <c r="I91" s="15"/>
      <c r="J91" s="23">
        <f>IF(H$12=0,0,H91/H$12)</f>
        <v>0.29497478881766376</v>
      </c>
      <c r="K91" s="17"/>
      <c r="L91" s="21">
        <f>+D91-H91</f>
        <v>105388.84737115394</v>
      </c>
      <c r="M91" s="17"/>
      <c r="N91" s="23">
        <f>IF(H91=0,0,L91/H91)</f>
        <v>0.81682867827732775</v>
      </c>
      <c r="O91" s="28"/>
      <c r="P91" s="21">
        <f>+P23-P25+P89</f>
        <v>1337477.0899999999</v>
      </c>
      <c r="Q91" s="15"/>
      <c r="R91" s="23">
        <f>IF(P$12=0,0,P91/P$12)</f>
        <v>0.36106818308074567</v>
      </c>
      <c r="S91" s="15"/>
      <c r="T91" s="21">
        <f>+T23-T25+T89</f>
        <v>714653.87413384579</v>
      </c>
      <c r="U91" s="15"/>
      <c r="V91" s="23">
        <f>IF(T$12=0,0,T91/T$12)</f>
        <v>0.2151923740240427</v>
      </c>
      <c r="W91" s="17"/>
      <c r="X91" s="21">
        <f>+P91-T91</f>
        <v>622823.21586615406</v>
      </c>
      <c r="Y91" s="17"/>
      <c r="Z91" s="23">
        <f>IF(T91=0,0,X91/T91)</f>
        <v>0.8715033086765398</v>
      </c>
    </row>
    <row r="92" spans="1:26" ht="15" customHeight="1" x14ac:dyDescent="0.3">
      <c r="A92" s="10"/>
      <c r="B92" s="11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49"/>
      <c r="B93" s="11" t="s">
        <v>293</v>
      </c>
      <c r="C93" s="11"/>
      <c r="D93" s="5">
        <v>44094.91</v>
      </c>
      <c r="E93" s="5"/>
      <c r="F93" s="13">
        <f>IF(D$12=0,0,D93/D$12)</f>
        <v>7.907044243100568E-2</v>
      </c>
      <c r="G93" s="5"/>
      <c r="H93" s="5">
        <v>57362</v>
      </c>
      <c r="I93" s="5"/>
      <c r="J93" s="13">
        <f>IF(H$12=0,0,H93/H$12)</f>
        <v>0.13114311842706905</v>
      </c>
      <c r="K93" s="5"/>
      <c r="L93" s="5">
        <f>+D93-H93</f>
        <v>-13267.089999999997</v>
      </c>
      <c r="M93" s="5"/>
      <c r="N93" s="13">
        <f>IF(H93=0,0,L93/H93)</f>
        <v>-0.23128708901363265</v>
      </c>
      <c r="O93" s="11"/>
      <c r="P93" s="5">
        <v>419628.76</v>
      </c>
      <c r="Q93" s="5"/>
      <c r="R93" s="13">
        <f>IF(P$12=0,0,P93/P$12)</f>
        <v>0.11328387983200991</v>
      </c>
      <c r="S93" s="5"/>
      <c r="T93" s="5">
        <v>408531</v>
      </c>
      <c r="U93" s="5"/>
      <c r="V93" s="13">
        <f>IF(T$12=0,0,T93/T$12)</f>
        <v>0.12301445347786812</v>
      </c>
      <c r="W93" s="5"/>
      <c r="X93" s="5">
        <f>+P93-T93</f>
        <v>11097.760000000009</v>
      </c>
      <c r="Y93" s="5"/>
      <c r="Z93" s="13">
        <f>IF(T93=0,0,X93/T93)</f>
        <v>2.7165037659320858E-2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7" t="s">
        <v>294</v>
      </c>
      <c r="C95" s="27"/>
      <c r="D95" s="29">
        <f>+D91-D93</f>
        <v>190315.91000000006</v>
      </c>
      <c r="E95" s="15"/>
      <c r="F95" s="30">
        <f>IF(D$12=0,0,D95/D$12)</f>
        <v>0.34127211520240003</v>
      </c>
      <c r="G95" s="15"/>
      <c r="H95" s="29">
        <f>+H91-H93</f>
        <v>71659.972628846124</v>
      </c>
      <c r="I95" s="15"/>
      <c r="J95" s="30">
        <f>IF(H$12=0,0,H95/H$12)</f>
        <v>0.16383167039059471</v>
      </c>
      <c r="K95" s="17"/>
      <c r="L95" s="29">
        <f>D95-H95</f>
        <v>118655.93737115394</v>
      </c>
      <c r="M95" s="17"/>
      <c r="N95" s="30">
        <f>IF(H95=0,0,L95/H95)</f>
        <v>1.6558189044491762</v>
      </c>
      <c r="O95" s="28"/>
      <c r="P95" s="29">
        <f>+P91-P93</f>
        <v>917848.32999999984</v>
      </c>
      <c r="Q95" s="15"/>
      <c r="R95" s="30">
        <f>IF(P$12=0,0,P95/P$12)</f>
        <v>0.24778430324873577</v>
      </c>
      <c r="S95" s="15"/>
      <c r="T95" s="29">
        <f>+T91-T93</f>
        <v>306122.87413384579</v>
      </c>
      <c r="U95" s="15"/>
      <c r="V95" s="30">
        <f>IF(T$12=0,0,T95/T$12)</f>
        <v>9.2177920546174588E-2</v>
      </c>
      <c r="W95" s="17"/>
      <c r="X95" s="29">
        <f>P95-T95</f>
        <v>611725.45586615405</v>
      </c>
      <c r="Y95" s="17"/>
      <c r="Z95" s="30">
        <f>IF(T95=0,0,X95/T95)</f>
        <v>1.9983003805154722</v>
      </c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3">
      <c r="A98" s="11"/>
      <c r="B98" s="27" t="s">
        <v>297</v>
      </c>
      <c r="C98" s="27"/>
      <c r="D98" s="32">
        <f>SUM(D95:D97)</f>
        <v>190315.91000000006</v>
      </c>
      <c r="E98" s="15"/>
      <c r="F98" s="34">
        <f>IF(D$12=0,0,D98/D$12)</f>
        <v>0.34127211520240003</v>
      </c>
      <c r="G98" s="15"/>
      <c r="H98" s="32">
        <f>SUM(H95:H97)</f>
        <v>71659.972628846124</v>
      </c>
      <c r="I98" s="15"/>
      <c r="J98" s="34">
        <f>IF(H$12=0,0,H98/H$12)</f>
        <v>0.16383167039059471</v>
      </c>
      <c r="K98" s="17"/>
      <c r="L98" s="32">
        <f>+D98-H98</f>
        <v>118655.93737115394</v>
      </c>
      <c r="M98" s="17"/>
      <c r="N98" s="34">
        <f>IF(H98=0,0,L98/H98)</f>
        <v>1.6558189044491762</v>
      </c>
      <c r="O98" s="28"/>
      <c r="P98" s="32">
        <f>SUM(P95:P97)</f>
        <v>917848.32999999984</v>
      </c>
      <c r="Q98" s="15"/>
      <c r="R98" s="34">
        <f>IF(P$12=0,0,P98/P$12)</f>
        <v>0.24778430324873577</v>
      </c>
      <c r="S98" s="15"/>
      <c r="T98" s="32">
        <f>SUM(T95:T97)</f>
        <v>306122.87413384579</v>
      </c>
      <c r="U98" s="15"/>
      <c r="V98" s="34">
        <f>IF(T$12=0,0,T98/T$12)</f>
        <v>9.2177920546174588E-2</v>
      </c>
      <c r="W98" s="17"/>
      <c r="X98" s="32">
        <f>+P98-T98</f>
        <v>611725.45586615405</v>
      </c>
      <c r="Y98" s="17"/>
      <c r="Z98" s="34">
        <f>IF(T98=0,0,X98/T98)</f>
        <v>1.9983003805154722</v>
      </c>
    </row>
    <row r="99" spans="1:26" ht="15" customHeight="1" x14ac:dyDescent="0.3">
      <c r="A99" s="10"/>
      <c r="C99" s="10"/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6">
        <v>44694.888552430559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0" t="s">
        <v>298</v>
      </c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1"/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513B-107D-6A38-2BA7-6B5E9B2183A4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","435"," - ","Ground Floor Coffee House")</f>
        <v>Department 435 - Ground Floor Coffee House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3069.44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3069.44</v>
      </c>
      <c r="M12" s="5"/>
      <c r="N12" s="13">
        <f>IF(H12=0,0,L12/H12)</f>
        <v>0</v>
      </c>
      <c r="O12" s="11"/>
      <c r="P12" s="5">
        <f>SUM(OSRRefP13x_0)</f>
        <v>5355.42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5355.42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","4055"," - ","TAXABLE SALES-FOOD")</f>
        <v xml:space="preserve">          4055 - TAXABLE SALES-FOOD</v>
      </c>
      <c r="C13" s="12"/>
      <c r="D13" s="3">
        <f>--1014.83</f>
        <v>1014.83</v>
      </c>
      <c r="E13" s="3"/>
      <c r="F13" s="20"/>
      <c r="G13" s="3"/>
      <c r="H13" s="3"/>
      <c r="I13" s="3"/>
      <c r="J13" s="20"/>
      <c r="K13" s="3"/>
      <c r="L13" s="3">
        <f>+D13-H13</f>
        <v>1014.83</v>
      </c>
      <c r="M13" s="3"/>
      <c r="N13" s="20">
        <f>IF(H13=0,0,L13/H13)</f>
        <v>0</v>
      </c>
      <c r="O13" s="12"/>
      <c r="P13" s="3">
        <f>--1556.1</f>
        <v>1556.1</v>
      </c>
      <c r="Q13" s="3"/>
      <c r="R13" s="20"/>
      <c r="S13" s="3"/>
      <c r="T13" s="3"/>
      <c r="U13" s="3"/>
      <c r="V13" s="20"/>
      <c r="W13" s="3"/>
      <c r="X13" s="3">
        <f>+P13-T13</f>
        <v>1556.1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","4155"," - ","NON-TAXABLE SALES-FOOD")</f>
        <v xml:space="preserve">          4155 - NON-TAXABLE SALES-FOOD</v>
      </c>
      <c r="C14" s="12"/>
      <c r="D14" s="3">
        <f>--2054.61</f>
        <v>2054.61</v>
      </c>
      <c r="E14" s="3"/>
      <c r="F14" s="20"/>
      <c r="G14" s="3"/>
      <c r="H14" s="3"/>
      <c r="I14" s="3"/>
      <c r="J14" s="20"/>
      <c r="K14" s="3"/>
      <c r="L14" s="3">
        <f>+D14-H14</f>
        <v>2054.61</v>
      </c>
      <c r="M14" s="3"/>
      <c r="N14" s="20">
        <f>IF(H14=0,0,L14/H14)</f>
        <v>0</v>
      </c>
      <c r="O14" s="12"/>
      <c r="P14" s="3">
        <f>--3799.32</f>
        <v>3799.32</v>
      </c>
      <c r="Q14" s="3"/>
      <c r="R14" s="20"/>
      <c r="S14" s="3"/>
      <c r="T14" s="3"/>
      <c r="U14" s="3"/>
      <c r="V14" s="20"/>
      <c r="W14" s="3"/>
      <c r="X14" s="3">
        <f>+P14-T14</f>
        <v>3799.32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1232.01</v>
      </c>
      <c r="E16" s="5"/>
      <c r="F16" s="13">
        <f>IF(D$12=0,0,D16/D$12)</f>
        <v>0.40137940471226019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1232.01</v>
      </c>
      <c r="M16" s="5"/>
      <c r="N16" s="13">
        <f>IF(H16=0,0,L16/H16)</f>
        <v>0</v>
      </c>
      <c r="O16" s="11"/>
      <c r="P16" s="5">
        <f>SUM(OSRRefP16x_0)</f>
        <v>1232.01</v>
      </c>
      <c r="Q16" s="5"/>
      <c r="R16" s="13">
        <f>IF(P$12=0,0,P16/P$12)</f>
        <v>0.23004918381751571</v>
      </c>
      <c r="S16" s="5"/>
      <c r="T16" s="5">
        <f>SUM(OSRRefT16x_0)</f>
        <v>0</v>
      </c>
      <c r="U16" s="5"/>
      <c r="V16" s="13">
        <f>IF(T$12=0,0,T16/T$12)</f>
        <v>0</v>
      </c>
      <c r="W16" s="5"/>
      <c r="X16" s="5">
        <f>+P16-T16</f>
        <v>1232.01</v>
      </c>
      <c r="Y16" s="5"/>
      <c r="Z16" s="13">
        <f>IF(T16=0,0,X16/T16)</f>
        <v>0</v>
      </c>
    </row>
    <row r="17" spans="1:26" s="70" customFormat="1" ht="15" hidden="1" customHeight="1" outlineLevel="1" x14ac:dyDescent="0.3">
      <c r="A17" s="42"/>
      <c r="B17" s="12" t="str">
        <f>CONCATENATE("          ","5053"," - ","PURCHASES @ COST-FOOD")</f>
        <v xml:space="preserve">          5053 - PURCHASES @ COST-FOOD</v>
      </c>
      <c r="C17" s="12"/>
      <c r="D17" s="3">
        <v>1232.01</v>
      </c>
      <c r="E17" s="3"/>
      <c r="F17" s="20">
        <f>IF(D$12=0,0,D17/D$12)</f>
        <v>0.40137940471226019</v>
      </c>
      <c r="G17" s="3"/>
      <c r="H17" s="3"/>
      <c r="I17" s="3"/>
      <c r="J17" s="20">
        <f>IF(H$12=0,0,H17/H$12)</f>
        <v>0</v>
      </c>
      <c r="K17" s="3"/>
      <c r="L17" s="3">
        <f>+D17-H17</f>
        <v>1232.01</v>
      </c>
      <c r="M17" s="3"/>
      <c r="N17" s="20">
        <f>IF(H17=0,0,L17/H17)</f>
        <v>0</v>
      </c>
      <c r="O17" s="12"/>
      <c r="P17" s="3">
        <v>1232.01</v>
      </c>
      <c r="Q17" s="3"/>
      <c r="R17" s="20">
        <f>IF(P$12=0,0,P17/P$12)</f>
        <v>0.23004918381751571</v>
      </c>
      <c r="S17" s="3"/>
      <c r="T17" s="3"/>
      <c r="U17" s="3"/>
      <c r="V17" s="20">
        <f>IF(T$12=0,0,T17/T$12)</f>
        <v>0</v>
      </c>
      <c r="W17" s="3"/>
      <c r="X17" s="3">
        <f>+P17-T17</f>
        <v>1232.01</v>
      </c>
      <c r="Y17" s="3"/>
      <c r="Z17" s="20">
        <f>IF(T17=0,0,X17/T17)</f>
        <v>0</v>
      </c>
    </row>
    <row r="18" spans="1:26" ht="15" customHeight="1" x14ac:dyDescent="0.3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x14ac:dyDescent="0.3">
      <c r="A19" s="11"/>
      <c r="B19" s="27" t="s">
        <v>289</v>
      </c>
      <c r="C19" s="27"/>
      <c r="D19" s="21">
        <f>D12-D16</f>
        <v>1837.43</v>
      </c>
      <c r="E19" s="15"/>
      <c r="F19" s="23">
        <f>IF(D$12=0,0,D19/D$12)</f>
        <v>0.59862059528773981</v>
      </c>
      <c r="G19" s="15"/>
      <c r="H19" s="21">
        <f>H12-H16</f>
        <v>0</v>
      </c>
      <c r="I19" s="15"/>
      <c r="J19" s="23">
        <f>IF(H$12=0,0,H19/H$12)</f>
        <v>0</v>
      </c>
      <c r="K19" s="17"/>
      <c r="L19" s="21">
        <f>+D19-H19</f>
        <v>1837.43</v>
      </c>
      <c r="M19" s="17"/>
      <c r="N19" s="23">
        <f>IF(H19=0,0,L19/H19)</f>
        <v>0</v>
      </c>
      <c r="O19" s="28"/>
      <c r="P19" s="21">
        <f>P12-P16</f>
        <v>4123.41</v>
      </c>
      <c r="Q19" s="15"/>
      <c r="R19" s="23">
        <f>IF(P$12=0,0,P19/P$12)</f>
        <v>0.76995081618248429</v>
      </c>
      <c r="S19" s="15"/>
      <c r="T19" s="21">
        <f>T12-T16</f>
        <v>0</v>
      </c>
      <c r="U19" s="15"/>
      <c r="V19" s="23">
        <f>IF(T$12=0,0,T19/T$12)</f>
        <v>0</v>
      </c>
      <c r="W19" s="17"/>
      <c r="X19" s="21">
        <f>+P19-T19</f>
        <v>4123.41</v>
      </c>
      <c r="Y19" s="17"/>
      <c r="Z19" s="23">
        <f>IF(T19=0,0,X19/T19)</f>
        <v>0</v>
      </c>
    </row>
    <row r="20" spans="1:26" ht="15" customHeight="1" x14ac:dyDescent="0.3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5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3" customFormat="1" ht="15" customHeight="1" x14ac:dyDescent="0.3">
      <c r="A21" s="11"/>
      <c r="B21" s="28" t="s">
        <v>290</v>
      </c>
      <c r="C21" s="11"/>
      <c r="D21" s="22" cm="1">
        <f t="array" ref="D21">SUM(OSRRefD22x_0)</f>
        <v>3814.7700000000004</v>
      </c>
      <c r="E21" s="22"/>
      <c r="F21" s="33">
        <f t="shared" ref="F21:F32" si="0">IF(D$12=0,0,D21/D$12)</f>
        <v>1.2428227950375315</v>
      </c>
      <c r="G21" s="22"/>
      <c r="H21" s="22" cm="1">
        <f t="array" ref="H21">SUM(OSRRefH22x_0)</f>
        <v>0</v>
      </c>
      <c r="I21" s="22"/>
      <c r="J21" s="33">
        <f t="shared" ref="J21:J32" si="1">IF(H$12=0,0,H21/H$12)</f>
        <v>0</v>
      </c>
      <c r="K21" s="5"/>
      <c r="L21" s="22">
        <f t="shared" ref="L21:L32" si="2">+D21-H21</f>
        <v>3814.7700000000004</v>
      </c>
      <c r="M21" s="5"/>
      <c r="N21" s="33">
        <f t="shared" ref="N21:N32" si="3">IF(H21=0,0,L21/H21)</f>
        <v>0</v>
      </c>
      <c r="O21" s="11"/>
      <c r="P21" s="22" cm="1">
        <f t="array" ref="P21">SUM(OSRRefP22x_0)</f>
        <v>3815.0500000000006</v>
      </c>
      <c r="Q21" s="22"/>
      <c r="R21" s="33">
        <f t="shared" ref="R21:R32" si="4">IF(P$12=0,0,P21/P$12)</f>
        <v>0.71237176542642788</v>
      </c>
      <c r="S21" s="22"/>
      <c r="T21" s="22" cm="1">
        <f t="array" ref="T21">SUM(OSRRefT22x_0)</f>
        <v>0</v>
      </c>
      <c r="U21" s="22"/>
      <c r="V21" s="33">
        <f t="shared" ref="V21:V32" si="5">IF(T$12=0,0,T21/T$12)</f>
        <v>0</v>
      </c>
      <c r="W21" s="5"/>
      <c r="X21" s="22">
        <f t="shared" ref="X21:X32" si="6">+P21-T21</f>
        <v>3815.0500000000006</v>
      </c>
      <c r="Y21" s="5"/>
      <c r="Z21" s="33">
        <f t="shared" ref="Z21:Z32" si="7">IF(T21=0,0,X21/T21)</f>
        <v>0</v>
      </c>
    </row>
    <row r="22" spans="1:26" s="69" customFormat="1" ht="15" customHeight="1" outlineLevel="1" collapsed="1" x14ac:dyDescent="0.3">
      <c r="A22" s="25"/>
      <c r="B22" s="14" t="str">
        <f>CONCATENATE("     ","*Benefits                                         ")</f>
        <v xml:space="preserve">     *Benefits                                         </v>
      </c>
      <c r="C22" s="14"/>
      <c r="D22" s="2">
        <f>SUM(OSRRefD22_0x_0)</f>
        <v>57.4</v>
      </c>
      <c r="E22" s="2"/>
      <c r="F22" s="6">
        <f t="shared" si="0"/>
        <v>1.8700479566305255E-2</v>
      </c>
      <c r="G22" s="2"/>
      <c r="H22" s="2">
        <f>SUM(OSRRefH22_0x_0)</f>
        <v>0</v>
      </c>
      <c r="I22" s="2"/>
      <c r="J22" s="6">
        <f t="shared" si="1"/>
        <v>0</v>
      </c>
      <c r="K22" s="2"/>
      <c r="L22" s="2">
        <f t="shared" si="2"/>
        <v>57.4</v>
      </c>
      <c r="M22" s="2"/>
      <c r="N22" s="6">
        <f t="shared" si="3"/>
        <v>0</v>
      </c>
      <c r="O22" s="14"/>
      <c r="P22" s="2">
        <f>SUM(OSRRefP22_0x_0)</f>
        <v>57.4</v>
      </c>
      <c r="Q22" s="2"/>
      <c r="R22" s="6">
        <f t="shared" si="4"/>
        <v>1.0718113612004287E-2</v>
      </c>
      <c r="S22" s="2"/>
      <c r="T22" s="2">
        <f>SUM(OSRRefT22_0x_0)</f>
        <v>0</v>
      </c>
      <c r="U22" s="2"/>
      <c r="V22" s="6">
        <f t="shared" si="5"/>
        <v>0</v>
      </c>
      <c r="W22" s="2"/>
      <c r="X22" s="2">
        <f t="shared" si="6"/>
        <v>57.4</v>
      </c>
      <c r="Y22" s="2"/>
      <c r="Z22" s="6">
        <f t="shared" si="7"/>
        <v>0</v>
      </c>
    </row>
    <row r="23" spans="1:26" s="70" customFormat="1" ht="15" hidden="1" customHeight="1" outlineLevel="2" x14ac:dyDescent="0.3">
      <c r="A23" s="26"/>
      <c r="B23" s="12" t="str">
        <f>CONCATENATE("          ","6112"," - ","COMPENSATION INSURANCE")</f>
        <v xml:space="preserve">          6112 - COMPENSATION INSURANCE</v>
      </c>
      <c r="C23" s="12"/>
      <c r="D23" s="7">
        <v>53.53</v>
      </c>
      <c r="E23" s="3"/>
      <c r="F23" s="8">
        <f t="shared" si="0"/>
        <v>1.7439663261050876E-2</v>
      </c>
      <c r="G23" s="3"/>
      <c r="H23" s="7"/>
      <c r="I23" s="3"/>
      <c r="J23" s="8">
        <f t="shared" si="1"/>
        <v>0</v>
      </c>
      <c r="K23" s="3"/>
      <c r="L23" s="7">
        <f t="shared" si="2"/>
        <v>53.53</v>
      </c>
      <c r="M23" s="3"/>
      <c r="N23" s="8">
        <f t="shared" si="3"/>
        <v>0</v>
      </c>
      <c r="O23" s="12"/>
      <c r="P23" s="7">
        <v>53.53</v>
      </c>
      <c r="Q23" s="3"/>
      <c r="R23" s="8">
        <f t="shared" si="4"/>
        <v>9.995481213424905E-3</v>
      </c>
      <c r="S23" s="3"/>
      <c r="T23" s="7"/>
      <c r="U23" s="3"/>
      <c r="V23" s="8">
        <f t="shared" si="5"/>
        <v>0</v>
      </c>
      <c r="W23" s="3"/>
      <c r="X23" s="7">
        <f t="shared" si="6"/>
        <v>53.53</v>
      </c>
      <c r="Y23" s="3"/>
      <c r="Z23" s="8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3.87</v>
      </c>
      <c r="E24" s="3"/>
      <c r="F24" s="8">
        <f t="shared" si="0"/>
        <v>1.2608163052543787E-3</v>
      </c>
      <c r="G24" s="3"/>
      <c r="H24" s="7"/>
      <c r="I24" s="3"/>
      <c r="J24" s="8">
        <f t="shared" si="1"/>
        <v>0</v>
      </c>
      <c r="K24" s="3"/>
      <c r="L24" s="7">
        <f t="shared" si="2"/>
        <v>3.87</v>
      </c>
      <c r="M24" s="3"/>
      <c r="N24" s="8">
        <f t="shared" si="3"/>
        <v>0</v>
      </c>
      <c r="O24" s="12"/>
      <c r="P24" s="7">
        <v>3.87</v>
      </c>
      <c r="Q24" s="3"/>
      <c r="R24" s="8">
        <f t="shared" si="4"/>
        <v>7.2263239857938311E-4</v>
      </c>
      <c r="S24" s="3"/>
      <c r="T24" s="7"/>
      <c r="U24" s="3"/>
      <c r="V24" s="8">
        <f t="shared" si="5"/>
        <v>0</v>
      </c>
      <c r="W24" s="3"/>
      <c r="X24" s="7">
        <f t="shared" si="6"/>
        <v>3.87</v>
      </c>
      <c r="Y24" s="3"/>
      <c r="Z24" s="8">
        <f t="shared" si="7"/>
        <v>0</v>
      </c>
    </row>
    <row r="25" spans="1:26" s="69" customFormat="1" ht="15" customHeight="1" outlineLevel="1" collapsed="1" x14ac:dyDescent="0.3">
      <c r="A25" s="25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3227.07</v>
      </c>
      <c r="E25" s="2"/>
      <c r="F25" s="6">
        <f t="shared" si="0"/>
        <v>1.0513546444954129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3227.07</v>
      </c>
      <c r="M25" s="2"/>
      <c r="N25" s="6">
        <f t="shared" si="3"/>
        <v>0</v>
      </c>
      <c r="O25" s="14"/>
      <c r="P25" s="2">
        <f>SUM(OSRRefP22_1x_0)</f>
        <v>3227.07</v>
      </c>
      <c r="Q25" s="2"/>
      <c r="R25" s="6">
        <f t="shared" si="4"/>
        <v>0.60258018978903616</v>
      </c>
      <c r="S25" s="2"/>
      <c r="T25" s="2">
        <f>SUM(OSRRefT22_1x_0)</f>
        <v>0</v>
      </c>
      <c r="U25" s="2"/>
      <c r="V25" s="6">
        <f t="shared" si="5"/>
        <v>0</v>
      </c>
      <c r="W25" s="2"/>
      <c r="X25" s="2">
        <f t="shared" si="6"/>
        <v>3227.07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","6007"," - ","STUDENT HOURLY")</f>
        <v xml:space="preserve">          6007 - STUDENT HOURLY</v>
      </c>
      <c r="C26" s="12"/>
      <c r="D26" s="7">
        <v>3227.07</v>
      </c>
      <c r="E26" s="3"/>
      <c r="F26" s="8">
        <f t="shared" si="0"/>
        <v>1.0513546444954129</v>
      </c>
      <c r="G26" s="3"/>
      <c r="H26" s="7"/>
      <c r="I26" s="3"/>
      <c r="J26" s="8">
        <f t="shared" si="1"/>
        <v>0</v>
      </c>
      <c r="K26" s="3"/>
      <c r="L26" s="7">
        <f t="shared" si="2"/>
        <v>3227.07</v>
      </c>
      <c r="M26" s="3"/>
      <c r="N26" s="8">
        <f t="shared" si="3"/>
        <v>0</v>
      </c>
      <c r="O26" s="12"/>
      <c r="P26" s="7">
        <v>3227.07</v>
      </c>
      <c r="Q26" s="3"/>
      <c r="R26" s="8">
        <f t="shared" si="4"/>
        <v>0.60258018978903616</v>
      </c>
      <c r="S26" s="3"/>
      <c r="T26" s="7"/>
      <c r="U26" s="3"/>
      <c r="V26" s="8">
        <f t="shared" si="5"/>
        <v>0</v>
      </c>
      <c r="W26" s="3"/>
      <c r="X26" s="7">
        <f t="shared" si="6"/>
        <v>3227.07</v>
      </c>
      <c r="Y26" s="3"/>
      <c r="Z26" s="8">
        <f t="shared" si="7"/>
        <v>0</v>
      </c>
    </row>
    <row r="27" spans="1:26" s="69" customFormat="1" ht="15" customHeight="1" outlineLevel="1" collapsed="1" x14ac:dyDescent="0.3">
      <c r="A27" s="25"/>
      <c r="B27" s="14" t="str">
        <f>CONCATENATE("     ","Bad Debts/Over/Short                              ")</f>
        <v xml:space="preserve">     Bad Debts/Over/Short                              </v>
      </c>
      <c r="C27" s="14"/>
      <c r="D27" s="2">
        <f>SUM(OSRRefD22_2x_0)</f>
        <v>-0.1</v>
      </c>
      <c r="E27" s="2"/>
      <c r="F27" s="6">
        <f t="shared" si="0"/>
        <v>-3.2579232693911592E-5</v>
      </c>
      <c r="G27" s="2"/>
      <c r="H27" s="2">
        <f>SUM(OSRRefH22_2x_0)</f>
        <v>0</v>
      </c>
      <c r="I27" s="2"/>
      <c r="J27" s="6">
        <f t="shared" si="1"/>
        <v>0</v>
      </c>
      <c r="K27" s="2"/>
      <c r="L27" s="2">
        <f t="shared" si="2"/>
        <v>-0.1</v>
      </c>
      <c r="M27" s="2"/>
      <c r="N27" s="6">
        <f t="shared" si="3"/>
        <v>0</v>
      </c>
      <c r="O27" s="14"/>
      <c r="P27" s="2">
        <f>SUM(OSRRefP22_2x_0)</f>
        <v>-0.1</v>
      </c>
      <c r="Q27" s="2"/>
      <c r="R27" s="6">
        <f t="shared" si="4"/>
        <v>-1.8672671797916877E-5</v>
      </c>
      <c r="S27" s="2"/>
      <c r="T27" s="2">
        <f>SUM(OSRRefT22_2x_0)</f>
        <v>0</v>
      </c>
      <c r="U27" s="2"/>
      <c r="V27" s="6">
        <f t="shared" si="5"/>
        <v>0</v>
      </c>
      <c r="W27" s="2"/>
      <c r="X27" s="2">
        <f t="shared" si="6"/>
        <v>-0.1</v>
      </c>
      <c r="Y27" s="2"/>
      <c r="Z27" s="6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","6272"," - ","CASH (OVER/SHORT)")</f>
        <v xml:space="preserve">          6272 - CASH (OVER/SHORT)</v>
      </c>
      <c r="C28" s="12"/>
      <c r="D28" s="7">
        <v>-0.1</v>
      </c>
      <c r="E28" s="3"/>
      <c r="F28" s="8">
        <f t="shared" si="0"/>
        <v>-3.2579232693911592E-5</v>
      </c>
      <c r="G28" s="3"/>
      <c r="H28" s="7"/>
      <c r="I28" s="3"/>
      <c r="J28" s="8">
        <f t="shared" si="1"/>
        <v>0</v>
      </c>
      <c r="K28" s="3"/>
      <c r="L28" s="7">
        <f t="shared" si="2"/>
        <v>-0.1</v>
      </c>
      <c r="M28" s="3"/>
      <c r="N28" s="8">
        <f t="shared" si="3"/>
        <v>0</v>
      </c>
      <c r="O28" s="12"/>
      <c r="P28" s="7">
        <v>-0.1</v>
      </c>
      <c r="Q28" s="3"/>
      <c r="R28" s="8">
        <f t="shared" si="4"/>
        <v>-1.8672671797916877E-5</v>
      </c>
      <c r="S28" s="3"/>
      <c r="T28" s="7"/>
      <c r="U28" s="3"/>
      <c r="V28" s="8">
        <f t="shared" si="5"/>
        <v>0</v>
      </c>
      <c r="W28" s="3"/>
      <c r="X28" s="7">
        <f t="shared" si="6"/>
        <v>-0.1</v>
      </c>
      <c r="Y28" s="3"/>
      <c r="Z28" s="8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0.28000000000000003</v>
      </c>
      <c r="Q29" s="2"/>
      <c r="R29" s="6">
        <f t="shared" si="4"/>
        <v>5.2283481034167259E-5</v>
      </c>
      <c r="S29" s="2"/>
      <c r="T29" s="2">
        <f>SUM(OSRRefT22_3x_0)</f>
        <v>0</v>
      </c>
      <c r="U29" s="2"/>
      <c r="V29" s="6">
        <f t="shared" si="5"/>
        <v>0</v>
      </c>
      <c r="W29" s="2"/>
      <c r="X29" s="2">
        <f t="shared" si="6"/>
        <v>0.28000000000000003</v>
      </c>
      <c r="Y29" s="2"/>
      <c r="Z29" s="6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","6381"," - ","BANK/CREDIT CARD FEES")</f>
        <v xml:space="preserve">          6381 - BANK/CREDIT CARD FEES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>
        <v>0.28000000000000003</v>
      </c>
      <c r="Q30" s="3"/>
      <c r="R30" s="8">
        <f t="shared" si="4"/>
        <v>5.2283481034167259E-5</v>
      </c>
      <c r="S30" s="3"/>
      <c r="T30" s="7"/>
      <c r="U30" s="3"/>
      <c r="V30" s="8">
        <f t="shared" si="5"/>
        <v>0</v>
      </c>
      <c r="W30" s="3"/>
      <c r="X30" s="7">
        <f t="shared" si="6"/>
        <v>0.28000000000000003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","General                                           ")</f>
        <v xml:space="preserve">     General                                           </v>
      </c>
      <c r="C31" s="14"/>
      <c r="D31" s="2">
        <f>SUM(OSRRefD22_4x_0)</f>
        <v>530.4</v>
      </c>
      <c r="E31" s="2"/>
      <c r="F31" s="6">
        <f t="shared" si="0"/>
        <v>0.17280025020850709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530.4</v>
      </c>
      <c r="M31" s="2"/>
      <c r="N31" s="6">
        <f t="shared" si="3"/>
        <v>0</v>
      </c>
      <c r="O31" s="14"/>
      <c r="P31" s="2">
        <f>SUM(OSRRefP22_4x_0)</f>
        <v>530.4</v>
      </c>
      <c r="Q31" s="2"/>
      <c r="R31" s="6">
        <f t="shared" si="4"/>
        <v>9.9039851216151109E-2</v>
      </c>
      <c r="S31" s="2"/>
      <c r="T31" s="2">
        <f>SUM(OSRRefT22_4x_0)</f>
        <v>0</v>
      </c>
      <c r="U31" s="2"/>
      <c r="V31" s="6">
        <f t="shared" si="5"/>
        <v>0</v>
      </c>
      <c r="W31" s="2"/>
      <c r="X31" s="2">
        <f t="shared" si="6"/>
        <v>530.4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","6279"," - ","GENERAL EXPENSE")</f>
        <v xml:space="preserve">          6279 - GENERAL EXPENSE</v>
      </c>
      <c r="C32" s="12"/>
      <c r="D32" s="7">
        <v>530.4</v>
      </c>
      <c r="E32" s="3"/>
      <c r="F32" s="8">
        <f t="shared" si="0"/>
        <v>0.17280025020850709</v>
      </c>
      <c r="G32" s="3"/>
      <c r="H32" s="7"/>
      <c r="I32" s="3"/>
      <c r="J32" s="8">
        <f t="shared" si="1"/>
        <v>0</v>
      </c>
      <c r="K32" s="3"/>
      <c r="L32" s="7">
        <f t="shared" si="2"/>
        <v>530.4</v>
      </c>
      <c r="M32" s="3"/>
      <c r="N32" s="8">
        <f t="shared" si="3"/>
        <v>0</v>
      </c>
      <c r="O32" s="12"/>
      <c r="P32" s="7">
        <v>530.4</v>
      </c>
      <c r="Q32" s="3"/>
      <c r="R32" s="8">
        <f t="shared" si="4"/>
        <v>9.9039851216151109E-2</v>
      </c>
      <c r="S32" s="3"/>
      <c r="T32" s="7"/>
      <c r="U32" s="3"/>
      <c r="V32" s="8">
        <f t="shared" si="5"/>
        <v>0</v>
      </c>
      <c r="W32" s="3"/>
      <c r="X32" s="7">
        <f t="shared" si="6"/>
        <v>530.4</v>
      </c>
      <c r="Y32" s="3"/>
      <c r="Z32" s="8">
        <f t="shared" si="7"/>
        <v>0</v>
      </c>
    </row>
    <row r="33" spans="1:26" s="65" customFormat="1" ht="15" customHeight="1" x14ac:dyDescent="0.3">
      <c r="A33" s="35"/>
      <c r="B33" s="35"/>
      <c r="C33" s="35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5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3" customFormat="1" ht="15" customHeight="1" x14ac:dyDescent="0.3">
      <c r="A34" s="11"/>
      <c r="B34" s="28" t="s">
        <v>291</v>
      </c>
      <c r="C34" s="11"/>
      <c r="D34" s="5">
        <f>SUM(0)</f>
        <v>0</v>
      </c>
      <c r="E34" s="5"/>
      <c r="F34" s="13">
        <f>IF(D$12=0,0,D34/D$12)</f>
        <v>0</v>
      </c>
      <c r="G34" s="5"/>
      <c r="H34" s="5">
        <f>SUM(0)</f>
        <v>0</v>
      </c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>
        <f>SUM(0)</f>
        <v>0</v>
      </c>
      <c r="Q34" s="5"/>
      <c r="R34" s="13">
        <f>IF(P$12=0,0,P34/P$12)</f>
        <v>0</v>
      </c>
      <c r="S34" s="5"/>
      <c r="T34" s="5">
        <f>SUM(0)</f>
        <v>0</v>
      </c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292</v>
      </c>
      <c r="C36" s="27"/>
      <c r="D36" s="21">
        <f>+D19-D21+D34</f>
        <v>-1977.3400000000004</v>
      </c>
      <c r="E36" s="15"/>
      <c r="F36" s="23">
        <f>IF(D$12=0,0,D36/D$12)</f>
        <v>-0.64420219974979165</v>
      </c>
      <c r="G36" s="15"/>
      <c r="H36" s="21">
        <f>+H19-H21+H34</f>
        <v>0</v>
      </c>
      <c r="I36" s="15"/>
      <c r="J36" s="23">
        <f>IF(H$12=0,0,H36/H$12)</f>
        <v>0</v>
      </c>
      <c r="K36" s="17"/>
      <c r="L36" s="21">
        <f>+D36-H36</f>
        <v>-1977.3400000000004</v>
      </c>
      <c r="M36" s="17"/>
      <c r="N36" s="23">
        <f>IF(H36=0,0,L36/H36)</f>
        <v>0</v>
      </c>
      <c r="O36" s="28"/>
      <c r="P36" s="21">
        <f>+P19-P21+P34</f>
        <v>308.35999999999922</v>
      </c>
      <c r="Q36" s="15"/>
      <c r="R36" s="23">
        <f>IF(P$12=0,0,P36/P$12)</f>
        <v>5.7579050756056335E-2</v>
      </c>
      <c r="S36" s="15"/>
      <c r="T36" s="21">
        <f>+T19-T21+T34</f>
        <v>0</v>
      </c>
      <c r="U36" s="15"/>
      <c r="V36" s="23">
        <f>IF(T$12=0,0,T36/T$12)</f>
        <v>0</v>
      </c>
      <c r="W36" s="17"/>
      <c r="X36" s="21">
        <f>+P36-T36</f>
        <v>308.35999999999922</v>
      </c>
      <c r="Y36" s="17"/>
      <c r="Z36" s="23">
        <f>IF(T36=0,0,X36/T36)</f>
        <v>0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49"/>
      <c r="B38" s="11" t="s">
        <v>293</v>
      </c>
      <c r="C38" s="11"/>
      <c r="D38" s="5">
        <v>333.85</v>
      </c>
      <c r="E38" s="5"/>
      <c r="F38" s="13">
        <f>IF(D$12=0,0,D38/D$12)</f>
        <v>0.10876576834862386</v>
      </c>
      <c r="G38" s="5"/>
      <c r="H38" s="5"/>
      <c r="I38" s="5"/>
      <c r="J38" s="13">
        <f>IF(H$12=0,0,H38/H$12)</f>
        <v>0</v>
      </c>
      <c r="K38" s="5"/>
      <c r="L38" s="5">
        <f>+D38-H38</f>
        <v>333.85</v>
      </c>
      <c r="M38" s="5"/>
      <c r="N38" s="13">
        <f>IF(H38=0,0,L38/H38)</f>
        <v>0</v>
      </c>
      <c r="O38" s="11"/>
      <c r="P38" s="5">
        <v>606.67999999999995</v>
      </c>
      <c r="Q38" s="5"/>
      <c r="R38" s="13">
        <f>IF(P$12=0,0,P38/P$12)</f>
        <v>0.1132833652636021</v>
      </c>
      <c r="S38" s="5"/>
      <c r="T38" s="5"/>
      <c r="U38" s="5"/>
      <c r="V38" s="13">
        <f>IF(T$12=0,0,T38/T$12)</f>
        <v>0</v>
      </c>
      <c r="W38" s="5"/>
      <c r="X38" s="5">
        <f>+P38-T38</f>
        <v>606.67999999999995</v>
      </c>
      <c r="Y38" s="5"/>
      <c r="Z38" s="13">
        <f>IF(T38=0,0,X38/T38)</f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294</v>
      </c>
      <c r="C40" s="27"/>
      <c r="D40" s="29">
        <f>+D36-D38</f>
        <v>-2311.1900000000005</v>
      </c>
      <c r="E40" s="15"/>
      <c r="F40" s="30">
        <f>IF(D$12=0,0,D40/D$12)</f>
        <v>-0.75296796809841549</v>
      </c>
      <c r="G40" s="15"/>
      <c r="H40" s="29">
        <f>+H36-H38</f>
        <v>0</v>
      </c>
      <c r="I40" s="15"/>
      <c r="J40" s="30">
        <f>IF(H$12=0,0,H40/H$12)</f>
        <v>0</v>
      </c>
      <c r="K40" s="17"/>
      <c r="L40" s="29">
        <f>D40-H40</f>
        <v>-2311.1900000000005</v>
      </c>
      <c r="M40" s="17"/>
      <c r="N40" s="30">
        <f>IF(H40=0,0,L40/H40)</f>
        <v>0</v>
      </c>
      <c r="O40" s="28"/>
      <c r="P40" s="29">
        <f>+P36-P38</f>
        <v>-298.32000000000073</v>
      </c>
      <c r="Q40" s="15"/>
      <c r="R40" s="30">
        <f>IF(P$12=0,0,P40/P$12)</f>
        <v>-5.570431450754576E-2</v>
      </c>
      <c r="S40" s="15"/>
      <c r="T40" s="29">
        <f>+T36-T38</f>
        <v>0</v>
      </c>
      <c r="U40" s="15"/>
      <c r="V40" s="30">
        <f>IF(T$12=0,0,T40/T$12)</f>
        <v>0</v>
      </c>
      <c r="W40" s="17"/>
      <c r="X40" s="29">
        <f>P40-T40</f>
        <v>-298.32000000000073</v>
      </c>
      <c r="Y40" s="17"/>
      <c r="Z40" s="30">
        <f>IF(T40=0,0,X40/T40)</f>
        <v>0</v>
      </c>
    </row>
    <row r="41" spans="1:26" ht="15" customHeight="1" x14ac:dyDescent="0.3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s="63" customFormat="1" ht="15" customHeight="1" x14ac:dyDescent="0.3">
      <c r="A43" s="11"/>
      <c r="B43" s="27" t="s">
        <v>297</v>
      </c>
      <c r="C43" s="27"/>
      <c r="D43" s="32">
        <f>SUM(D40:D42)</f>
        <v>-2311.1900000000005</v>
      </c>
      <c r="E43" s="15"/>
      <c r="F43" s="34">
        <f>IF(D$12=0,0,D43/D$12)</f>
        <v>-0.75296796809841549</v>
      </c>
      <c r="G43" s="15"/>
      <c r="H43" s="32">
        <f>SUM(H40:H42)</f>
        <v>0</v>
      </c>
      <c r="I43" s="15"/>
      <c r="J43" s="34">
        <f>IF(H$12=0,0,H43/H$12)</f>
        <v>0</v>
      </c>
      <c r="K43" s="17"/>
      <c r="L43" s="32">
        <f>+D43-H43</f>
        <v>-2311.1900000000005</v>
      </c>
      <c r="M43" s="17"/>
      <c r="N43" s="34">
        <f>IF(H43=0,0,L43/H43)</f>
        <v>0</v>
      </c>
      <c r="O43" s="28"/>
      <c r="P43" s="32">
        <f>SUM(P40:P42)</f>
        <v>-298.32000000000073</v>
      </c>
      <c r="Q43" s="15"/>
      <c r="R43" s="34">
        <f>IF(P$12=0,0,P43/P$12)</f>
        <v>-5.570431450754576E-2</v>
      </c>
      <c r="S43" s="15"/>
      <c r="T43" s="32">
        <f>SUM(T40:T42)</f>
        <v>0</v>
      </c>
      <c r="U43" s="15"/>
      <c r="V43" s="34">
        <f>IF(T$12=0,0,T43/T$12)</f>
        <v>0</v>
      </c>
      <c r="W43" s="17"/>
      <c r="X43" s="32">
        <f>+P43-T43</f>
        <v>-298.32000000000073</v>
      </c>
      <c r="Y43" s="17"/>
      <c r="Z43" s="34">
        <f>IF(T43=0,0,X43/T43)</f>
        <v>0</v>
      </c>
    </row>
    <row r="44" spans="1:26" ht="15" customHeight="1" x14ac:dyDescent="0.3">
      <c r="A44" s="10"/>
      <c r="C44" s="10"/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  <row r="45" spans="1:26" ht="15" customHeight="1" x14ac:dyDescent="0.3">
      <c r="A45" s="10"/>
      <c r="B45" s="56">
        <v>44694.888552430559</v>
      </c>
      <c r="D45" s="19"/>
      <c r="E45" s="19"/>
      <c r="G45" s="19"/>
      <c r="H45" s="19"/>
      <c r="I45" s="19"/>
      <c r="J45" s="40"/>
      <c r="K45" s="19"/>
      <c r="L45" s="19"/>
      <c r="M45" s="19"/>
      <c r="P45" s="19"/>
      <c r="Q45" s="19"/>
      <c r="R45" s="40"/>
      <c r="S45" s="19"/>
      <c r="T45" s="19"/>
      <c r="U45" s="19"/>
      <c r="V45" s="40"/>
      <c r="W45" s="19"/>
      <c r="X45" s="19"/>
    </row>
    <row r="46" spans="1:26" ht="15" customHeight="1" x14ac:dyDescent="0.3">
      <c r="A46" s="10"/>
      <c r="B46" s="50" t="s">
        <v>298</v>
      </c>
      <c r="D46" s="19"/>
      <c r="E46" s="19"/>
      <c r="G46" s="19"/>
      <c r="H46" s="19"/>
      <c r="I46" s="19"/>
      <c r="J46" s="40"/>
      <c r="K46" s="19"/>
      <c r="L46" s="19"/>
      <c r="M46" s="19"/>
      <c r="P46" s="19"/>
      <c r="Q46" s="19"/>
      <c r="R46" s="40"/>
      <c r="S46" s="19"/>
      <c r="T46" s="19"/>
      <c r="U46" s="19"/>
      <c r="V46" s="40"/>
      <c r="W46" s="19"/>
      <c r="X46" s="19"/>
    </row>
    <row r="47" spans="1:26" ht="15" customHeight="1" x14ac:dyDescent="0.3">
      <c r="A47" s="10"/>
      <c r="B47" s="51"/>
      <c r="D47" s="19"/>
      <c r="E47" s="19"/>
      <c r="G47" s="19"/>
      <c r="H47" s="19"/>
      <c r="I47" s="19"/>
      <c r="J47" s="40"/>
      <c r="K47" s="19"/>
      <c r="L47" s="19"/>
      <c r="M47" s="19"/>
      <c r="P47" s="19"/>
      <c r="Q47" s="19"/>
      <c r="R47" s="40"/>
      <c r="S47" s="19"/>
      <c r="T47" s="19"/>
      <c r="U47" s="19"/>
      <c r="V47" s="40"/>
      <c r="W47" s="19"/>
      <c r="X47" s="19"/>
    </row>
    <row r="48" spans="1:26" ht="15" customHeight="1" x14ac:dyDescent="0.3">
      <c r="D48" s="19"/>
      <c r="E48" s="19"/>
      <c r="G48" s="19"/>
      <c r="H48" s="19"/>
      <c r="I48" s="19"/>
      <c r="J48" s="40"/>
      <c r="K48" s="19"/>
      <c r="L48" s="19"/>
      <c r="M48" s="19"/>
      <c r="P48" s="19"/>
      <c r="Q48" s="19"/>
      <c r="R48" s="40"/>
      <c r="S48" s="19"/>
      <c r="T48" s="19"/>
      <c r="U48" s="19"/>
      <c r="V48" s="40"/>
      <c r="W48" s="19"/>
      <c r="X4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4BAE3-3FDF-2F64-8F5C-11A0ADB77077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","444"," - ","Parkside Dining Hall")</f>
        <v>Department 444 - Parkside Dining Hall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841412.03999999992</v>
      </c>
      <c r="E12" s="5"/>
      <c r="F12" s="13"/>
      <c r="G12" s="5"/>
      <c r="H12" s="5">
        <f>SUM(OSRRefH13x_0)</f>
        <v>534600</v>
      </c>
      <c r="I12" s="5"/>
      <c r="J12" s="13"/>
      <c r="K12" s="5"/>
      <c r="L12" s="5">
        <f>+D12-H12</f>
        <v>306812.03999999992</v>
      </c>
      <c r="M12" s="5"/>
      <c r="N12" s="13">
        <f>IF(H12=0,0,L12/H12)</f>
        <v>0.57390953984287307</v>
      </c>
      <c r="O12" s="11"/>
      <c r="P12" s="5">
        <f>SUM(OSRRefP13x_0)</f>
        <v>5366983.6399999997</v>
      </c>
      <c r="Q12" s="5"/>
      <c r="R12" s="13"/>
      <c r="S12" s="5"/>
      <c r="T12" s="5">
        <f>SUM(OSRRefT13x_0)</f>
        <v>4059000</v>
      </c>
      <c r="U12" s="5"/>
      <c r="V12" s="13"/>
      <c r="W12" s="5"/>
      <c r="X12" s="5">
        <f>+P12-T12</f>
        <v>1307983.6399999997</v>
      </c>
      <c r="Y12" s="5"/>
      <c r="Z12" s="13">
        <f>IF(T12=0,0,X12/T12)</f>
        <v>0.32224282828282819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--177.76</f>
        <v>177.76</v>
      </c>
      <c r="E13" s="3"/>
      <c r="F13" s="20"/>
      <c r="G13" s="3"/>
      <c r="H13" s="3"/>
      <c r="I13" s="3"/>
      <c r="J13" s="20"/>
      <c r="K13" s="3"/>
      <c r="L13" s="3">
        <f>+D13-H13</f>
        <v>177.76</v>
      </c>
      <c r="M13" s="3"/>
      <c r="N13" s="20">
        <f>IF(H13=0,0,L13/H13)</f>
        <v>0</v>
      </c>
      <c r="O13" s="12"/>
      <c r="P13" s="3">
        <f>--1124.06</f>
        <v>1124.06</v>
      </c>
      <c r="Q13" s="3"/>
      <c r="R13" s="20"/>
      <c r="S13" s="3"/>
      <c r="T13" s="3"/>
      <c r="U13" s="3"/>
      <c r="V13" s="20"/>
      <c r="W13" s="3"/>
      <c r="X13" s="3">
        <f>+P13-T13</f>
        <v>1124.06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534600</v>
      </c>
      <c r="I14" s="3"/>
      <c r="J14" s="20"/>
      <c r="K14" s="3"/>
      <c r="L14" s="3">
        <f>+D14-H14</f>
        <v>-534600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4059000</v>
      </c>
      <c r="U14" s="3"/>
      <c r="V14" s="20"/>
      <c r="W14" s="3"/>
      <c r="X14" s="3">
        <f>+P14-T14</f>
        <v>-4059000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--836832.84</f>
        <v>836832.84</v>
      </c>
      <c r="E15" s="3"/>
      <c r="F15" s="20"/>
      <c r="G15" s="3"/>
      <c r="H15" s="3"/>
      <c r="I15" s="3"/>
      <c r="J15" s="20"/>
      <c r="K15" s="3"/>
      <c r="L15" s="3">
        <f>+D15-H15</f>
        <v>836832.84</v>
      </c>
      <c r="M15" s="3"/>
      <c r="N15" s="20">
        <f>IF(H15=0,0,L15/H15)</f>
        <v>0</v>
      </c>
      <c r="O15" s="12"/>
      <c r="P15" s="3">
        <f>--5339701.83</f>
        <v>5339701.83</v>
      </c>
      <c r="Q15" s="3"/>
      <c r="R15" s="20"/>
      <c r="S15" s="3"/>
      <c r="T15" s="3"/>
      <c r="U15" s="3"/>
      <c r="V15" s="20"/>
      <c r="W15" s="3"/>
      <c r="X15" s="3">
        <f>+P15-T15</f>
        <v>5339701.83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--4401.44</f>
        <v>4401.4399999999996</v>
      </c>
      <c r="E16" s="3"/>
      <c r="F16" s="20"/>
      <c r="G16" s="3"/>
      <c r="H16" s="3"/>
      <c r="I16" s="3"/>
      <c r="J16" s="20"/>
      <c r="K16" s="3"/>
      <c r="L16" s="3">
        <f>+D16-H16</f>
        <v>4401.4399999999996</v>
      </c>
      <c r="M16" s="3"/>
      <c r="N16" s="20">
        <f>IF(H16=0,0,L16/H16)</f>
        <v>0</v>
      </c>
      <c r="O16" s="12"/>
      <c r="P16" s="3">
        <f>--26157.75</f>
        <v>26157.75</v>
      </c>
      <c r="Q16" s="3"/>
      <c r="R16" s="20"/>
      <c r="S16" s="3"/>
      <c r="T16" s="3"/>
      <c r="U16" s="3"/>
      <c r="V16" s="20"/>
      <c r="W16" s="3"/>
      <c r="X16" s="3">
        <f>+P16-T16</f>
        <v>26157.75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156115.98000000001</v>
      </c>
      <c r="E18" s="5"/>
      <c r="F18" s="13">
        <f>IF(D$12=0,0,D18/D$12)</f>
        <v>0.18554046362350607</v>
      </c>
      <c r="G18" s="5"/>
      <c r="H18" s="5">
        <f>SUM(OSRRefH16x_0)</f>
        <v>149688</v>
      </c>
      <c r="I18" s="5"/>
      <c r="J18" s="13">
        <f>IF(H$12=0,0,H18/H$12)</f>
        <v>0.28000000000000003</v>
      </c>
      <c r="K18" s="5"/>
      <c r="L18" s="5">
        <f>+D18-H18</f>
        <v>6427.9800000000105</v>
      </c>
      <c r="M18" s="5"/>
      <c r="N18" s="13">
        <f>IF(H18=0,0,L18/H18)</f>
        <v>4.2942520442520511E-2</v>
      </c>
      <c r="O18" s="11"/>
      <c r="P18" s="5">
        <f>SUM(OSRRefP16x_0)</f>
        <v>1240805.4099999999</v>
      </c>
      <c r="Q18" s="5"/>
      <c r="R18" s="13">
        <f>IF(P$12=0,0,P18/P$12)</f>
        <v>0.23119232202466711</v>
      </c>
      <c r="S18" s="5"/>
      <c r="T18" s="5">
        <f>SUM(OSRRefT16x_0)</f>
        <v>1131768</v>
      </c>
      <c r="U18" s="5"/>
      <c r="V18" s="13">
        <f>IF(T$12=0,0,T18/T$12)</f>
        <v>0.27882926829268295</v>
      </c>
      <c r="W18" s="5"/>
      <c r="X18" s="5">
        <f>+P18-T18</f>
        <v>109037.40999999992</v>
      </c>
      <c r="Y18" s="5"/>
      <c r="Z18" s="13">
        <f>IF(T18=0,0,X18/T18)</f>
        <v>9.6342545468682553E-2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149688</v>
      </c>
      <c r="I19" s="3"/>
      <c r="J19" s="20">
        <f>IF(H$12=0,0,H19/H$12)</f>
        <v>0.28000000000000003</v>
      </c>
      <c r="K19" s="3"/>
      <c r="L19" s="3">
        <f>+D19-H19</f>
        <v>-149688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1131768</v>
      </c>
      <c r="U19" s="3"/>
      <c r="V19" s="20">
        <f>IF(T$12=0,0,T19/T$12)</f>
        <v>0.27882926829268295</v>
      </c>
      <c r="W19" s="3"/>
      <c r="X19" s="3">
        <f>+P19-T19</f>
        <v>-1131768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158461.98000000001</v>
      </c>
      <c r="E20" s="3"/>
      <c r="F20" s="20">
        <f>IF(D$12=0,0,D20/D$12)</f>
        <v>0.18832863385220874</v>
      </c>
      <c r="G20" s="3"/>
      <c r="H20" s="3"/>
      <c r="I20" s="3"/>
      <c r="J20" s="20">
        <f>IF(H$12=0,0,H20/H$12)</f>
        <v>0</v>
      </c>
      <c r="K20" s="3"/>
      <c r="L20" s="3">
        <f>+D20-H20</f>
        <v>158461.98000000001</v>
      </c>
      <c r="M20" s="3"/>
      <c r="N20" s="20">
        <f>IF(H20=0,0,L20/H20)</f>
        <v>0</v>
      </c>
      <c r="O20" s="12"/>
      <c r="P20" s="3">
        <v>1246408.4099999999</v>
      </c>
      <c r="Q20" s="3"/>
      <c r="R20" s="20">
        <f>IF(P$12=0,0,P20/P$12)</f>
        <v>0.232236297631047</v>
      </c>
      <c r="S20" s="3"/>
      <c r="T20" s="3"/>
      <c r="U20" s="3"/>
      <c r="V20" s="20">
        <f>IF(T$12=0,0,T20/T$12)</f>
        <v>0</v>
      </c>
      <c r="W20" s="3"/>
      <c r="X20" s="3">
        <f>+P20-T20</f>
        <v>1246408.4099999999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-2346</v>
      </c>
      <c r="E21" s="3"/>
      <c r="F21" s="20">
        <f>IF(D$12=0,0,D21/D$12)</f>
        <v>-2.7881702287026939E-3</v>
      </c>
      <c r="G21" s="3"/>
      <c r="H21" s="3"/>
      <c r="I21" s="3"/>
      <c r="J21" s="20">
        <f>IF(H$12=0,0,H21/H$12)</f>
        <v>0</v>
      </c>
      <c r="K21" s="3"/>
      <c r="L21" s="3">
        <f>+D21-H21</f>
        <v>-2346</v>
      </c>
      <c r="M21" s="3"/>
      <c r="N21" s="20">
        <f>IF(H21=0,0,L21/H21)</f>
        <v>0</v>
      </c>
      <c r="O21" s="12"/>
      <c r="P21" s="3">
        <v>-5603</v>
      </c>
      <c r="Q21" s="3"/>
      <c r="R21" s="20">
        <f>IF(P$12=0,0,P21/P$12)</f>
        <v>-1.0439756063798996E-3</v>
      </c>
      <c r="S21" s="3"/>
      <c r="T21" s="3"/>
      <c r="U21" s="3"/>
      <c r="V21" s="20">
        <f>IF(T$12=0,0,T21/T$12)</f>
        <v>0</v>
      </c>
      <c r="W21" s="3"/>
      <c r="X21" s="3">
        <f>+P21-T21</f>
        <v>-5603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685296.05999999994</v>
      </c>
      <c r="E23" s="15"/>
      <c r="F23" s="23">
        <f>IF(D$12=0,0,D23/D$12)</f>
        <v>0.81445953637649393</v>
      </c>
      <c r="G23" s="15"/>
      <c r="H23" s="21">
        <f>H12-H18</f>
        <v>384912</v>
      </c>
      <c r="I23" s="15"/>
      <c r="J23" s="23">
        <f>IF(H$12=0,0,H23/H$12)</f>
        <v>0.72</v>
      </c>
      <c r="K23" s="17"/>
      <c r="L23" s="21">
        <f>+D23-H23</f>
        <v>300384.05999999994</v>
      </c>
      <c r="M23" s="17"/>
      <c r="N23" s="23">
        <f>IF(H23=0,0,L23/H23)</f>
        <v>0.78039671405412125</v>
      </c>
      <c r="O23" s="28"/>
      <c r="P23" s="21">
        <f>P12-P18</f>
        <v>4126178.2299999995</v>
      </c>
      <c r="Q23" s="15"/>
      <c r="R23" s="23">
        <f>IF(P$12=0,0,P23/P$12)</f>
        <v>0.76880767797533289</v>
      </c>
      <c r="S23" s="15"/>
      <c r="T23" s="21">
        <f>T12-T18</f>
        <v>2927232</v>
      </c>
      <c r="U23" s="15"/>
      <c r="V23" s="23">
        <f>IF(T$12=0,0,T23/T$12)</f>
        <v>0.72117073170731705</v>
      </c>
      <c r="W23" s="17"/>
      <c r="X23" s="21">
        <f>+P23-T23</f>
        <v>1198946.2299999995</v>
      </c>
      <c r="Y23" s="17"/>
      <c r="Z23" s="23">
        <f>IF(T23=0,0,X23/T23)</f>
        <v>0.40958360321286441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245578.16000000003</v>
      </c>
      <c r="E25" s="22"/>
      <c r="F25" s="33">
        <f t="shared" ref="F25:F56" si="0">IF(D$12=0,0,D25/D$12)</f>
        <v>0.29186432844483667</v>
      </c>
      <c r="G25" s="22"/>
      <c r="H25" s="22" cm="1">
        <f t="array" ref="H25">SUM(OSRRefH22x_0)</f>
        <v>257994.46661402495</v>
      </c>
      <c r="I25" s="22"/>
      <c r="J25" s="33">
        <f t="shared" ref="J25:J56" si="1">IF(H$12=0,0,H25/H$12)</f>
        <v>0.48259346542092207</v>
      </c>
      <c r="K25" s="5"/>
      <c r="L25" s="22">
        <f t="shared" ref="L25:L56" si="2">+D25-H25</f>
        <v>-12416.306614024914</v>
      </c>
      <c r="M25" s="5"/>
      <c r="N25" s="33">
        <f t="shared" ref="N25:N56" si="3">IF(H25=0,0,L25/H25)</f>
        <v>-4.8126251609110854E-2</v>
      </c>
      <c r="O25" s="11"/>
      <c r="P25" s="22" cm="1">
        <f t="array" ref="P25">SUM(OSRRefP22x_0)</f>
        <v>1925490.7800000005</v>
      </c>
      <c r="Q25" s="22"/>
      <c r="R25" s="33">
        <f t="shared" ref="R25:R56" si="4">IF(P$12=0,0,P25/P$12)</f>
        <v>0.3587659119452804</v>
      </c>
      <c r="S25" s="22"/>
      <c r="T25" s="22" cm="1">
        <f t="array" ref="T25">SUM(OSRRefT22x_0)</f>
        <v>2145108.1046034191</v>
      </c>
      <c r="U25" s="22"/>
      <c r="V25" s="33">
        <f t="shared" ref="V25:V56" si="5">IF(T$12=0,0,T25/T$12)</f>
        <v>0.52848191786238463</v>
      </c>
      <c r="W25" s="5"/>
      <c r="X25" s="22">
        <f t="shared" ref="X25:X56" si="6">+P25-T25</f>
        <v>-219617.32460341859</v>
      </c>
      <c r="Y25" s="5"/>
      <c r="Z25" s="33">
        <f t="shared" ref="Z25:Z56" si="7">IF(T25=0,0,X25/T25)</f>
        <v>-0.10238053929875052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32672.38</v>
      </c>
      <c r="E26" s="2"/>
      <c r="F26" s="6">
        <f t="shared" si="0"/>
        <v>3.8830416545976694E-2</v>
      </c>
      <c r="G26" s="2"/>
      <c r="H26" s="2">
        <f>SUM(OSRRefH22_0x_0)</f>
        <v>47055.929325563433</v>
      </c>
      <c r="I26" s="2"/>
      <c r="J26" s="6">
        <f t="shared" si="1"/>
        <v>8.8020818042580315E-2</v>
      </c>
      <c r="K26" s="2"/>
      <c r="L26" s="2">
        <f t="shared" si="2"/>
        <v>-14383.549325563432</v>
      </c>
      <c r="M26" s="2"/>
      <c r="N26" s="6">
        <f t="shared" si="3"/>
        <v>-0.30566922238531752</v>
      </c>
      <c r="O26" s="14"/>
      <c r="P26" s="2">
        <f>SUM(OSRRefP22_0x_0)</f>
        <v>302462.94</v>
      </c>
      <c r="Q26" s="2"/>
      <c r="R26" s="6">
        <f t="shared" si="4"/>
        <v>5.6356225449571154E-2</v>
      </c>
      <c r="S26" s="2"/>
      <c r="T26" s="2">
        <f>SUM(OSRRefT22_0x_0)</f>
        <v>417377.21826495795</v>
      </c>
      <c r="U26" s="2"/>
      <c r="V26" s="6">
        <f t="shared" si="5"/>
        <v>0.10282759750306922</v>
      </c>
      <c r="W26" s="2"/>
      <c r="X26" s="2">
        <f t="shared" si="6"/>
        <v>-114914.27826495795</v>
      </c>
      <c r="Y26" s="2"/>
      <c r="Z26" s="6">
        <f t="shared" si="7"/>
        <v>-0.27532474997715006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6096.37</v>
      </c>
      <c r="E27" s="3"/>
      <c r="F27" s="8">
        <f t="shared" si="0"/>
        <v>7.2454038095295147E-3</v>
      </c>
      <c r="G27" s="3"/>
      <c r="H27" s="7">
        <v>4391.0983236403799</v>
      </c>
      <c r="I27" s="3"/>
      <c r="J27" s="8">
        <f t="shared" si="1"/>
        <v>8.2138015780777781E-3</v>
      </c>
      <c r="K27" s="3"/>
      <c r="L27" s="7">
        <f t="shared" si="2"/>
        <v>1705.27167635962</v>
      </c>
      <c r="M27" s="3"/>
      <c r="N27" s="8">
        <f t="shared" si="3"/>
        <v>0.38834741348854329</v>
      </c>
      <c r="O27" s="12"/>
      <c r="P27" s="7">
        <v>47702.17</v>
      </c>
      <c r="Q27" s="3"/>
      <c r="R27" s="8">
        <f t="shared" si="4"/>
        <v>8.8880781458838213E-3</v>
      </c>
      <c r="S27" s="3"/>
      <c r="T27" s="7">
        <v>41029.401248035399</v>
      </c>
      <c r="U27" s="3"/>
      <c r="V27" s="8">
        <f t="shared" si="5"/>
        <v>1.010825357182444E-2</v>
      </c>
      <c r="W27" s="3"/>
      <c r="X27" s="7">
        <f t="shared" si="6"/>
        <v>6672.7687519645988</v>
      </c>
      <c r="Y27" s="3"/>
      <c r="Z27" s="8">
        <f t="shared" si="7"/>
        <v>0.16263383205681339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3163.76</v>
      </c>
      <c r="E28" s="3"/>
      <c r="F28" s="8">
        <f t="shared" si="0"/>
        <v>3.7600602910317286E-3</v>
      </c>
      <c r="G28" s="3"/>
      <c r="H28" s="7">
        <v>5479.6683026730798</v>
      </c>
      <c r="I28" s="3"/>
      <c r="J28" s="8">
        <f t="shared" si="1"/>
        <v>1.0250034236201046E-2</v>
      </c>
      <c r="K28" s="3"/>
      <c r="L28" s="7">
        <f t="shared" si="2"/>
        <v>-2315.9083026730796</v>
      </c>
      <c r="M28" s="3"/>
      <c r="N28" s="8">
        <f t="shared" si="3"/>
        <v>-0.42263658578446039</v>
      </c>
      <c r="O28" s="12"/>
      <c r="P28" s="7">
        <v>30874.75</v>
      </c>
      <c r="Q28" s="3"/>
      <c r="R28" s="8">
        <f t="shared" si="4"/>
        <v>5.7527192313185441E-3</v>
      </c>
      <c r="S28" s="3"/>
      <c r="T28" s="7">
        <v>44615.656337523098</v>
      </c>
      <c r="U28" s="3"/>
      <c r="V28" s="8">
        <f t="shared" si="5"/>
        <v>1.0991785251915027E-2</v>
      </c>
      <c r="W28" s="3"/>
      <c r="X28" s="7">
        <f t="shared" si="6"/>
        <v>-13740.906337523098</v>
      </c>
      <c r="Y28" s="3"/>
      <c r="Z28" s="8">
        <f t="shared" si="7"/>
        <v>-0.3079839559810888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13595.11</v>
      </c>
      <c r="E29" s="3"/>
      <c r="F29" s="8">
        <f t="shared" si="0"/>
        <v>1.6157494014466447E-2</v>
      </c>
      <c r="G29" s="3"/>
      <c r="H29" s="7">
        <v>25460.461538461499</v>
      </c>
      <c r="I29" s="3"/>
      <c r="J29" s="8">
        <f t="shared" si="1"/>
        <v>4.7625255403033105E-2</v>
      </c>
      <c r="K29" s="3"/>
      <c r="L29" s="7">
        <f t="shared" si="2"/>
        <v>-11865.351538461498</v>
      </c>
      <c r="M29" s="3"/>
      <c r="N29" s="8">
        <f t="shared" si="3"/>
        <v>-0.46603049675817021</v>
      </c>
      <c r="O29" s="12"/>
      <c r="P29" s="7">
        <v>144124.96</v>
      </c>
      <c r="Q29" s="3"/>
      <c r="R29" s="8">
        <f t="shared" si="4"/>
        <v>2.6853996521591782E-2</v>
      </c>
      <c r="S29" s="3"/>
      <c r="T29" s="7">
        <v>228878.46153846101</v>
      </c>
      <c r="U29" s="3"/>
      <c r="V29" s="8">
        <f t="shared" si="5"/>
        <v>5.6387893948869429E-2</v>
      </c>
      <c r="W29" s="3"/>
      <c r="X29" s="7">
        <f t="shared" si="6"/>
        <v>-84753.501538461016</v>
      </c>
      <c r="Y29" s="3"/>
      <c r="Z29" s="8">
        <f t="shared" si="7"/>
        <v>-0.37029915776596101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228.49</v>
      </c>
      <c r="E30" s="3"/>
      <c r="F30" s="8">
        <f t="shared" si="0"/>
        <v>2.7155542010071548E-4</v>
      </c>
      <c r="G30" s="3"/>
      <c r="H30" s="7">
        <v>303.62278194230799</v>
      </c>
      <c r="I30" s="3"/>
      <c r="J30" s="8">
        <f t="shared" si="1"/>
        <v>5.6794384949926673E-4</v>
      </c>
      <c r="K30" s="3"/>
      <c r="L30" s="7">
        <f t="shared" si="2"/>
        <v>-75.132781942307986</v>
      </c>
      <c r="M30" s="3"/>
      <c r="N30" s="8">
        <f t="shared" si="3"/>
        <v>-0.24745436248780608</v>
      </c>
      <c r="O30" s="12"/>
      <c r="P30" s="7">
        <v>2229.83</v>
      </c>
      <c r="Q30" s="3"/>
      <c r="R30" s="8">
        <f t="shared" si="4"/>
        <v>4.1547173413779964E-4</v>
      </c>
      <c r="S30" s="3"/>
      <c r="T30" s="7">
        <v>2472.10760709231</v>
      </c>
      <c r="U30" s="3"/>
      <c r="V30" s="8">
        <f t="shared" si="5"/>
        <v>6.090435100005691E-4</v>
      </c>
      <c r="W30" s="3"/>
      <c r="X30" s="7">
        <f t="shared" si="6"/>
        <v>-242.27760709231006</v>
      </c>
      <c r="Y30" s="3"/>
      <c r="Z30" s="8">
        <f t="shared" si="7"/>
        <v>-9.8004474561395286E-2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1555.76</v>
      </c>
      <c r="E31" s="3"/>
      <c r="F31" s="8">
        <f t="shared" si="0"/>
        <v>1.8489870907956109E-3</v>
      </c>
      <c r="G31" s="3"/>
      <c r="H31" s="7">
        <v>1758.3385519230801</v>
      </c>
      <c r="I31" s="3"/>
      <c r="J31" s="8">
        <f t="shared" si="1"/>
        <v>3.2890732359204642E-3</v>
      </c>
      <c r="K31" s="3"/>
      <c r="L31" s="7">
        <f t="shared" si="2"/>
        <v>-202.57855192308011</v>
      </c>
      <c r="M31" s="3"/>
      <c r="N31" s="8">
        <f t="shared" si="3"/>
        <v>-0.11521020892223607</v>
      </c>
      <c r="O31" s="12"/>
      <c r="P31" s="7">
        <v>14425.85</v>
      </c>
      <c r="Q31" s="3"/>
      <c r="R31" s="8">
        <f t="shared" si="4"/>
        <v>2.6878878281805236E-3</v>
      </c>
      <c r="S31" s="3"/>
      <c r="T31" s="7">
        <v>15473.379256923099</v>
      </c>
      <c r="U31" s="3"/>
      <c r="V31" s="8">
        <f t="shared" si="5"/>
        <v>3.8121161017302535E-3</v>
      </c>
      <c r="W31" s="3"/>
      <c r="X31" s="7">
        <f t="shared" si="6"/>
        <v>-1047.5292569230987</v>
      </c>
      <c r="Y31" s="3"/>
      <c r="Z31" s="8">
        <f t="shared" si="7"/>
        <v>-6.7698803185116355E-2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535.4</v>
      </c>
      <c r="E33" s="3"/>
      <c r="F33" s="8">
        <f t="shared" si="0"/>
        <v>6.3631131306369235E-4</v>
      </c>
      <c r="G33" s="3"/>
      <c r="H33" s="7"/>
      <c r="I33" s="3"/>
      <c r="J33" s="8">
        <f t="shared" si="1"/>
        <v>0</v>
      </c>
      <c r="K33" s="3"/>
      <c r="L33" s="7">
        <f t="shared" si="2"/>
        <v>535.4</v>
      </c>
      <c r="M33" s="3"/>
      <c r="N33" s="8">
        <f t="shared" si="3"/>
        <v>0</v>
      </c>
      <c r="O33" s="12"/>
      <c r="P33" s="7">
        <v>5142.71</v>
      </c>
      <c r="Q33" s="3"/>
      <c r="R33" s="8">
        <f t="shared" si="4"/>
        <v>9.5821234886417513E-4</v>
      </c>
      <c r="S33" s="3"/>
      <c r="T33" s="7"/>
      <c r="U33" s="3"/>
      <c r="V33" s="8">
        <f t="shared" si="5"/>
        <v>0</v>
      </c>
      <c r="W33" s="3"/>
      <c r="X33" s="7">
        <f t="shared" si="6"/>
        <v>5142.71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3662.53</v>
      </c>
      <c r="E34" s="3"/>
      <c r="F34" s="8">
        <f t="shared" si="0"/>
        <v>4.3528376418288479E-3</v>
      </c>
      <c r="G34" s="3"/>
      <c r="H34" s="7">
        <v>2459.9579134615401</v>
      </c>
      <c r="I34" s="3"/>
      <c r="J34" s="8">
        <f t="shared" si="1"/>
        <v>4.6014925429508791E-3</v>
      </c>
      <c r="K34" s="3"/>
      <c r="L34" s="7">
        <f t="shared" si="2"/>
        <v>1202.5720865384601</v>
      </c>
      <c r="M34" s="3"/>
      <c r="N34" s="8">
        <f t="shared" si="3"/>
        <v>0.48885880524933684</v>
      </c>
      <c r="O34" s="12"/>
      <c r="P34" s="7">
        <v>28470.66</v>
      </c>
      <c r="Q34" s="3"/>
      <c r="R34" s="8">
        <f t="shared" si="4"/>
        <v>5.3047786074488582E-3</v>
      </c>
      <c r="S34" s="3"/>
      <c r="T34" s="7">
        <v>21647.629638461502</v>
      </c>
      <c r="U34" s="3"/>
      <c r="V34" s="8">
        <f t="shared" si="5"/>
        <v>5.3332420888054944E-3</v>
      </c>
      <c r="W34" s="3"/>
      <c r="X34" s="7">
        <f t="shared" si="6"/>
        <v>6823.0303615384983</v>
      </c>
      <c r="Y34" s="3"/>
      <c r="Z34" s="8">
        <f t="shared" si="7"/>
        <v>0.3151860261603871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2759.52</v>
      </c>
      <c r="E35" s="3"/>
      <c r="F35" s="8">
        <f t="shared" si="0"/>
        <v>3.279629799449982E-3</v>
      </c>
      <c r="G35" s="3"/>
      <c r="H35" s="7">
        <v>4927.7819134615402</v>
      </c>
      <c r="I35" s="3"/>
      <c r="J35" s="8">
        <f t="shared" si="1"/>
        <v>9.2176990524907229E-3</v>
      </c>
      <c r="K35" s="3"/>
      <c r="L35" s="7">
        <f t="shared" si="2"/>
        <v>-2168.2619134615402</v>
      </c>
      <c r="M35" s="3"/>
      <c r="N35" s="8">
        <f t="shared" si="3"/>
        <v>-0.44000768531138912</v>
      </c>
      <c r="O35" s="12"/>
      <c r="P35" s="7">
        <v>19963.14</v>
      </c>
      <c r="Q35" s="3"/>
      <c r="R35" s="8">
        <f t="shared" si="4"/>
        <v>3.7196200583164067E-3</v>
      </c>
      <c r="S35" s="3"/>
      <c r="T35" s="7">
        <v>40510.582638461499</v>
      </c>
      <c r="U35" s="3"/>
      <c r="V35" s="8">
        <f t="shared" si="5"/>
        <v>9.9804342543635127E-3</v>
      </c>
      <c r="W35" s="3"/>
      <c r="X35" s="7">
        <f t="shared" si="6"/>
        <v>-20547.4426384615</v>
      </c>
      <c r="Y35" s="3"/>
      <c r="Z35" s="8">
        <f t="shared" si="7"/>
        <v>-0.5072117283979366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1075.44</v>
      </c>
      <c r="E36" s="3"/>
      <c r="F36" s="8">
        <f t="shared" si="0"/>
        <v>1.2781371657101556E-3</v>
      </c>
      <c r="G36" s="3"/>
      <c r="H36" s="7">
        <v>2275</v>
      </c>
      <c r="I36" s="3"/>
      <c r="J36" s="8">
        <f t="shared" si="1"/>
        <v>4.255518144407033E-3</v>
      </c>
      <c r="K36" s="3"/>
      <c r="L36" s="7">
        <f t="shared" si="2"/>
        <v>-1199.56</v>
      </c>
      <c r="M36" s="3"/>
      <c r="N36" s="8">
        <f t="shared" si="3"/>
        <v>-0.52727912087912088</v>
      </c>
      <c r="O36" s="12"/>
      <c r="P36" s="7">
        <v>9528.8700000000008</v>
      </c>
      <c r="Q36" s="3"/>
      <c r="R36" s="8">
        <f t="shared" si="4"/>
        <v>1.7754609738292403E-3</v>
      </c>
      <c r="S36" s="3"/>
      <c r="T36" s="7">
        <v>22750</v>
      </c>
      <c r="U36" s="3"/>
      <c r="V36" s="8">
        <f t="shared" si="5"/>
        <v>5.6048287755604831E-3</v>
      </c>
      <c r="W36" s="3"/>
      <c r="X36" s="7">
        <f t="shared" si="6"/>
        <v>-13221.13</v>
      </c>
      <c r="Y36" s="3"/>
      <c r="Z36" s="8">
        <f t="shared" si="7"/>
        <v>-0.58114857142857135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118552.25</v>
      </c>
      <c r="E37" s="2"/>
      <c r="F37" s="6">
        <f t="shared" si="0"/>
        <v>0.14089678345938575</v>
      </c>
      <c r="G37" s="2"/>
      <c r="H37" s="2">
        <f>SUM(OSRRefH22_1x_0)</f>
        <v>137194.53728846152</v>
      </c>
      <c r="I37" s="2"/>
      <c r="J37" s="6">
        <f t="shared" si="1"/>
        <v>0.25663026054706606</v>
      </c>
      <c r="K37" s="2"/>
      <c r="L37" s="2">
        <f t="shared" si="2"/>
        <v>-18642.287288461521</v>
      </c>
      <c r="M37" s="2"/>
      <c r="N37" s="6">
        <f t="shared" si="3"/>
        <v>-0.13588213974777111</v>
      </c>
      <c r="O37" s="14"/>
      <c r="P37" s="2">
        <f>SUM(OSRRefP22_1x_0)</f>
        <v>948536.16</v>
      </c>
      <c r="Q37" s="2"/>
      <c r="R37" s="6">
        <f t="shared" si="4"/>
        <v>0.17673542973572398</v>
      </c>
      <c r="S37" s="2"/>
      <c r="T37" s="2">
        <f>SUM(OSRRefT22_1x_0)</f>
        <v>1115035.886338461</v>
      </c>
      <c r="U37" s="2"/>
      <c r="V37" s="6">
        <f t="shared" si="5"/>
        <v>0.27470704270472063</v>
      </c>
      <c r="W37" s="2"/>
      <c r="X37" s="2">
        <f t="shared" si="6"/>
        <v>-166499.72633846093</v>
      </c>
      <c r="Y37" s="2"/>
      <c r="Z37" s="6">
        <f t="shared" si="7"/>
        <v>-0.14932230287691489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9900.76</v>
      </c>
      <c r="E39" s="3"/>
      <c r="F39" s="8">
        <f t="shared" si="0"/>
        <v>1.1766838991274717E-2</v>
      </c>
      <c r="G39" s="3"/>
      <c r="H39" s="7">
        <v>19219.049288461501</v>
      </c>
      <c r="I39" s="3"/>
      <c r="J39" s="8">
        <f t="shared" si="1"/>
        <v>3.5950335369363075E-2</v>
      </c>
      <c r="K39" s="3"/>
      <c r="L39" s="7">
        <f t="shared" si="2"/>
        <v>-9318.2892884615012</v>
      </c>
      <c r="M39" s="3"/>
      <c r="N39" s="8">
        <f t="shared" si="3"/>
        <v>-0.48484652641251624</v>
      </c>
      <c r="O39" s="12"/>
      <c r="P39" s="7">
        <v>152158.84</v>
      </c>
      <c r="Q39" s="3"/>
      <c r="R39" s="8">
        <f t="shared" si="4"/>
        <v>2.8350904382484759E-2</v>
      </c>
      <c r="S39" s="3"/>
      <c r="T39" s="7">
        <v>169127.63373846101</v>
      </c>
      <c r="U39" s="3"/>
      <c r="V39" s="8">
        <f t="shared" si="5"/>
        <v>4.1667315530539789E-2</v>
      </c>
      <c r="W39" s="3"/>
      <c r="X39" s="7">
        <f t="shared" si="6"/>
        <v>-16968.793738461012</v>
      </c>
      <c r="Y39" s="3"/>
      <c r="Z39" s="8">
        <f t="shared" si="7"/>
        <v>-0.100331290418818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39613.49</v>
      </c>
      <c r="E41" s="3"/>
      <c r="F41" s="8">
        <f t="shared" si="0"/>
        <v>4.7079775563943681E-2</v>
      </c>
      <c r="G41" s="3"/>
      <c r="H41" s="7">
        <v>33386.832000000002</v>
      </c>
      <c r="I41" s="3"/>
      <c r="J41" s="8">
        <f t="shared" si="1"/>
        <v>6.2451986531986539E-2</v>
      </c>
      <c r="K41" s="3"/>
      <c r="L41" s="7">
        <f t="shared" si="2"/>
        <v>6226.6579999999958</v>
      </c>
      <c r="M41" s="3"/>
      <c r="N41" s="8">
        <f t="shared" si="3"/>
        <v>0.18650041429507283</v>
      </c>
      <c r="O41" s="12"/>
      <c r="P41" s="7">
        <v>289669.34999999998</v>
      </c>
      <c r="Q41" s="3"/>
      <c r="R41" s="8">
        <f t="shared" si="4"/>
        <v>5.3972467484547801E-2</v>
      </c>
      <c r="S41" s="3"/>
      <c r="T41" s="7">
        <v>293804.12160000001</v>
      </c>
      <c r="U41" s="3"/>
      <c r="V41" s="8">
        <f t="shared" si="5"/>
        <v>7.2383375609756107E-2</v>
      </c>
      <c r="W41" s="3"/>
      <c r="X41" s="7">
        <f t="shared" si="6"/>
        <v>-4134.7716000000364</v>
      </c>
      <c r="Y41" s="3"/>
      <c r="Z41" s="8">
        <f t="shared" si="7"/>
        <v>-1.4073225309035407E-2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21390.02</v>
      </c>
      <c r="E42" s="3"/>
      <c r="F42" s="8">
        <f t="shared" si="0"/>
        <v>2.5421575854797613E-2</v>
      </c>
      <c r="G42" s="3"/>
      <c r="H42" s="7">
        <v>17834.419999999998</v>
      </c>
      <c r="I42" s="3"/>
      <c r="J42" s="8">
        <f t="shared" si="1"/>
        <v>3.336030677141788E-2</v>
      </c>
      <c r="K42" s="3"/>
      <c r="L42" s="7">
        <f t="shared" si="2"/>
        <v>3555.6000000000022</v>
      </c>
      <c r="M42" s="3"/>
      <c r="N42" s="8">
        <f t="shared" si="3"/>
        <v>0.19936729089031224</v>
      </c>
      <c r="O42" s="12"/>
      <c r="P42" s="7">
        <v>171794.28</v>
      </c>
      <c r="Q42" s="3"/>
      <c r="R42" s="8">
        <f t="shared" si="4"/>
        <v>3.2009465935320051E-2</v>
      </c>
      <c r="S42" s="3"/>
      <c r="T42" s="7">
        <v>144483.92499999999</v>
      </c>
      <c r="U42" s="3"/>
      <c r="V42" s="8">
        <f t="shared" si="5"/>
        <v>3.5595941118502089E-2</v>
      </c>
      <c r="W42" s="3"/>
      <c r="X42" s="7">
        <f t="shared" si="6"/>
        <v>27310.35500000001</v>
      </c>
      <c r="Y42" s="3"/>
      <c r="Z42" s="8">
        <f t="shared" si="7"/>
        <v>0.18902002419992406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>
        <v>1049.1199999999999</v>
      </c>
      <c r="E43" s="3"/>
      <c r="F43" s="8">
        <f t="shared" si="0"/>
        <v>1.2468564153182309E-3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1049.1199999999999</v>
      </c>
      <c r="M43" s="3"/>
      <c r="N43" s="8">
        <f t="shared" si="3"/>
        <v>0</v>
      </c>
      <c r="O43" s="12"/>
      <c r="P43" s="7">
        <v>3233.92</v>
      </c>
      <c r="Q43" s="3"/>
      <c r="R43" s="8">
        <f t="shared" si="4"/>
        <v>6.0255819971159817E-4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3233.92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23900.41</v>
      </c>
      <c r="E44" s="3"/>
      <c r="F44" s="8">
        <f t="shared" si="0"/>
        <v>2.8405120040830414E-2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23900.41</v>
      </c>
      <c r="M44" s="3"/>
      <c r="N44" s="8">
        <f t="shared" si="3"/>
        <v>0</v>
      </c>
      <c r="O44" s="12"/>
      <c r="P44" s="7">
        <v>231569.14</v>
      </c>
      <c r="Q44" s="3"/>
      <c r="R44" s="8">
        <f t="shared" si="4"/>
        <v>4.3146980787144719E-2</v>
      </c>
      <c r="S44" s="3"/>
      <c r="T44" s="7">
        <v>30264</v>
      </c>
      <c r="U44" s="3"/>
      <c r="V44" s="8">
        <f t="shared" si="5"/>
        <v>7.4560236511456027E-3</v>
      </c>
      <c r="W44" s="3"/>
      <c r="X44" s="7">
        <f t="shared" si="6"/>
        <v>201305.14</v>
      </c>
      <c r="Y44" s="3"/>
      <c r="Z44" s="8">
        <f t="shared" si="7"/>
        <v>6.6516369283637333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22698.45</v>
      </c>
      <c r="E45" s="3"/>
      <c r="F45" s="8">
        <f t="shared" si="0"/>
        <v>2.6976616593221085E-2</v>
      </c>
      <c r="G45" s="3"/>
      <c r="H45" s="7">
        <v>66754.236000000004</v>
      </c>
      <c r="I45" s="3"/>
      <c r="J45" s="8">
        <f t="shared" si="1"/>
        <v>0.12486763187429854</v>
      </c>
      <c r="K45" s="3"/>
      <c r="L45" s="7">
        <f t="shared" si="2"/>
        <v>-44055.786000000007</v>
      </c>
      <c r="M45" s="3"/>
      <c r="N45" s="8">
        <f t="shared" si="3"/>
        <v>-0.6599698931465563</v>
      </c>
      <c r="O45" s="12"/>
      <c r="P45" s="7">
        <v>100110.63</v>
      </c>
      <c r="Q45" s="3"/>
      <c r="R45" s="8">
        <f t="shared" si="4"/>
        <v>1.865305294651504E-2</v>
      </c>
      <c r="S45" s="3"/>
      <c r="T45" s="7">
        <v>477356.20600000001</v>
      </c>
      <c r="U45" s="3"/>
      <c r="V45" s="8">
        <f t="shared" si="5"/>
        <v>0.11760438679477704</v>
      </c>
      <c r="W45" s="3"/>
      <c r="X45" s="7">
        <f t="shared" si="6"/>
        <v>-377245.576</v>
      </c>
      <c r="Y45" s="3"/>
      <c r="Z45" s="8">
        <f t="shared" si="7"/>
        <v>-0.79028107576336815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6.96</v>
      </c>
      <c r="E48" s="2"/>
      <c r="F48" s="6">
        <f t="shared" si="0"/>
        <v>8.2718093741563289E-6</v>
      </c>
      <c r="G48" s="2"/>
      <c r="H48" s="2">
        <f>SUM(OSRRefH22_2x_0)</f>
        <v>369</v>
      </c>
      <c r="I48" s="2"/>
      <c r="J48" s="6">
        <f t="shared" si="1"/>
        <v>6.902356902356902E-4</v>
      </c>
      <c r="K48" s="2"/>
      <c r="L48" s="2">
        <f t="shared" si="2"/>
        <v>-362.04</v>
      </c>
      <c r="M48" s="2"/>
      <c r="N48" s="6">
        <f t="shared" si="3"/>
        <v>-0.98113821138211388</v>
      </c>
      <c r="O48" s="14"/>
      <c r="P48" s="2">
        <f>SUM(OSRRefP22_2x_0)</f>
        <v>1086.81</v>
      </c>
      <c r="Q48" s="2"/>
      <c r="R48" s="6">
        <f t="shared" si="4"/>
        <v>2.0249921984110986E-4</v>
      </c>
      <c r="S48" s="2"/>
      <c r="T48" s="2">
        <f>SUM(OSRRefT22_2x_0)</f>
        <v>3690</v>
      </c>
      <c r="U48" s="2"/>
      <c r="V48" s="6">
        <f t="shared" si="5"/>
        <v>9.0909090909090909E-4</v>
      </c>
      <c r="W48" s="2"/>
      <c r="X48" s="2">
        <f t="shared" si="6"/>
        <v>-2603.19</v>
      </c>
      <c r="Y48" s="2"/>
      <c r="Z48" s="6">
        <f t="shared" si="7"/>
        <v>-0.70547154471544715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6.96</v>
      </c>
      <c r="E49" s="3"/>
      <c r="F49" s="8">
        <f t="shared" si="0"/>
        <v>8.2718093741563289E-6</v>
      </c>
      <c r="G49" s="3"/>
      <c r="H49" s="7">
        <v>369</v>
      </c>
      <c r="I49" s="3"/>
      <c r="J49" s="8">
        <f t="shared" si="1"/>
        <v>6.902356902356902E-4</v>
      </c>
      <c r="K49" s="3"/>
      <c r="L49" s="7">
        <f t="shared" si="2"/>
        <v>-362.04</v>
      </c>
      <c r="M49" s="3"/>
      <c r="N49" s="8">
        <f t="shared" si="3"/>
        <v>-0.98113821138211388</v>
      </c>
      <c r="O49" s="12"/>
      <c r="P49" s="7">
        <v>1086.81</v>
      </c>
      <c r="Q49" s="3"/>
      <c r="R49" s="8">
        <f t="shared" si="4"/>
        <v>2.0249921984110986E-4</v>
      </c>
      <c r="S49" s="3"/>
      <c r="T49" s="7">
        <v>3690</v>
      </c>
      <c r="U49" s="3"/>
      <c r="V49" s="8">
        <f t="shared" si="5"/>
        <v>9.0909090909090909E-4</v>
      </c>
      <c r="W49" s="3"/>
      <c r="X49" s="7">
        <f t="shared" si="6"/>
        <v>-2603.19</v>
      </c>
      <c r="Y49" s="3"/>
      <c r="Z49" s="8">
        <f t="shared" si="7"/>
        <v>-0.70547154471544715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8</v>
      </c>
      <c r="I50" s="2"/>
      <c r="J50" s="6">
        <f t="shared" si="1"/>
        <v>1.4964459408903853E-5</v>
      </c>
      <c r="K50" s="2"/>
      <c r="L50" s="2">
        <f t="shared" si="2"/>
        <v>-8</v>
      </c>
      <c r="M50" s="2"/>
      <c r="N50" s="6">
        <f t="shared" si="3"/>
        <v>-1</v>
      </c>
      <c r="O50" s="14"/>
      <c r="P50" s="2">
        <f>SUM(OSRRefP22_3x_0)</f>
        <v>0</v>
      </c>
      <c r="Q50" s="2"/>
      <c r="R50" s="6">
        <f t="shared" si="4"/>
        <v>0</v>
      </c>
      <c r="S50" s="2"/>
      <c r="T50" s="2">
        <f>SUM(OSRRefT22_3x_0)</f>
        <v>72</v>
      </c>
      <c r="U50" s="2"/>
      <c r="V50" s="6">
        <f t="shared" si="5"/>
        <v>1.7738359201773837E-5</v>
      </c>
      <c r="W50" s="2"/>
      <c r="X50" s="2">
        <f t="shared" si="6"/>
        <v>-72</v>
      </c>
      <c r="Y50" s="2"/>
      <c r="Z50" s="6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/>
      <c r="E51" s="3"/>
      <c r="F51" s="8">
        <f t="shared" si="0"/>
        <v>0</v>
      </c>
      <c r="G51" s="3"/>
      <c r="H51" s="7">
        <v>8</v>
      </c>
      <c r="I51" s="3"/>
      <c r="J51" s="8">
        <f t="shared" si="1"/>
        <v>1.4964459408903853E-5</v>
      </c>
      <c r="K51" s="3"/>
      <c r="L51" s="7">
        <f t="shared" si="2"/>
        <v>-8</v>
      </c>
      <c r="M51" s="3"/>
      <c r="N51" s="8">
        <f t="shared" si="3"/>
        <v>-1</v>
      </c>
      <c r="O51" s="12"/>
      <c r="P51" s="7">
        <v>0</v>
      </c>
      <c r="Q51" s="3"/>
      <c r="R51" s="8">
        <f t="shared" si="4"/>
        <v>0</v>
      </c>
      <c r="S51" s="3"/>
      <c r="T51" s="7">
        <v>72</v>
      </c>
      <c r="U51" s="3"/>
      <c r="V51" s="8">
        <f t="shared" si="5"/>
        <v>1.7738359201773837E-5</v>
      </c>
      <c r="W51" s="3"/>
      <c r="X51" s="7">
        <f t="shared" si="6"/>
        <v>-72</v>
      </c>
      <c r="Y51" s="3"/>
      <c r="Z51" s="8">
        <f t="shared" si="7"/>
        <v>-1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74.94</v>
      </c>
      <c r="E52" s="2"/>
      <c r="F52" s="6">
        <f t="shared" si="0"/>
        <v>8.9064568175183239E-5</v>
      </c>
      <c r="G52" s="2"/>
      <c r="H52" s="2">
        <f>SUM(OSRRefH22_4x_0)</f>
        <v>135</v>
      </c>
      <c r="I52" s="2"/>
      <c r="J52" s="6">
        <f t="shared" si="1"/>
        <v>2.5252525252525253E-4</v>
      </c>
      <c r="K52" s="2"/>
      <c r="L52" s="2">
        <f t="shared" si="2"/>
        <v>-60.06</v>
      </c>
      <c r="M52" s="2"/>
      <c r="N52" s="6">
        <f t="shared" si="3"/>
        <v>-0.44488888888888889</v>
      </c>
      <c r="O52" s="14"/>
      <c r="P52" s="2">
        <f>SUM(OSRRefP22_4x_0)</f>
        <v>565.27</v>
      </c>
      <c r="Q52" s="2"/>
      <c r="R52" s="6">
        <f t="shared" si="4"/>
        <v>1.0532359289994035E-4</v>
      </c>
      <c r="S52" s="2"/>
      <c r="T52" s="2">
        <f>SUM(OSRRefT22_4x_0)</f>
        <v>1350</v>
      </c>
      <c r="U52" s="2"/>
      <c r="V52" s="6">
        <f t="shared" si="5"/>
        <v>3.3259423503325942E-4</v>
      </c>
      <c r="W52" s="2"/>
      <c r="X52" s="2">
        <f t="shared" si="6"/>
        <v>-784.73</v>
      </c>
      <c r="Y52" s="2"/>
      <c r="Z52" s="6">
        <f t="shared" si="7"/>
        <v>-0.58128148148148151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74.94</v>
      </c>
      <c r="E53" s="3"/>
      <c r="F53" s="8">
        <f t="shared" si="0"/>
        <v>8.9064568175183239E-5</v>
      </c>
      <c r="G53" s="3"/>
      <c r="H53" s="7">
        <v>135</v>
      </c>
      <c r="I53" s="3"/>
      <c r="J53" s="8">
        <f t="shared" si="1"/>
        <v>2.5252525252525253E-4</v>
      </c>
      <c r="K53" s="3"/>
      <c r="L53" s="7">
        <f t="shared" si="2"/>
        <v>-60.06</v>
      </c>
      <c r="M53" s="3"/>
      <c r="N53" s="8">
        <f t="shared" si="3"/>
        <v>-0.44488888888888889</v>
      </c>
      <c r="O53" s="12"/>
      <c r="P53" s="7">
        <v>565.27</v>
      </c>
      <c r="Q53" s="3"/>
      <c r="R53" s="8">
        <f t="shared" si="4"/>
        <v>1.0532359289994035E-4</v>
      </c>
      <c r="S53" s="3"/>
      <c r="T53" s="7">
        <v>1350</v>
      </c>
      <c r="U53" s="3"/>
      <c r="V53" s="8">
        <f t="shared" si="5"/>
        <v>3.3259423503325942E-4</v>
      </c>
      <c r="W53" s="3"/>
      <c r="X53" s="7">
        <f t="shared" si="6"/>
        <v>-784.73</v>
      </c>
      <c r="Y53" s="3"/>
      <c r="Z53" s="8">
        <f t="shared" si="7"/>
        <v>-0.58128148148148151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3.2506071579389335E-4</v>
      </c>
      <c r="G54" s="2"/>
      <c r="H54" s="2">
        <f>SUM(OSRRefH22_5x_0)</f>
        <v>273</v>
      </c>
      <c r="I54" s="2"/>
      <c r="J54" s="6">
        <f t="shared" si="1"/>
        <v>5.1066217732884404E-4</v>
      </c>
      <c r="K54" s="2"/>
      <c r="L54" s="2">
        <f t="shared" si="2"/>
        <v>0.50999999999999091</v>
      </c>
      <c r="M54" s="2"/>
      <c r="N54" s="6">
        <f t="shared" si="3"/>
        <v>1.8681318681318347E-3</v>
      </c>
      <c r="O54" s="14"/>
      <c r="P54" s="2">
        <f>SUM(OSRRefP22_5x_0)</f>
        <v>2735.1</v>
      </c>
      <c r="Q54" s="2"/>
      <c r="R54" s="6">
        <f t="shared" si="4"/>
        <v>5.0961586311077333E-4</v>
      </c>
      <c r="S54" s="2"/>
      <c r="T54" s="2">
        <f>SUM(OSRRefT22_5x_0)</f>
        <v>2730</v>
      </c>
      <c r="U54" s="2"/>
      <c r="V54" s="6">
        <f t="shared" si="5"/>
        <v>6.7257945306725794E-4</v>
      </c>
      <c r="W54" s="2"/>
      <c r="X54" s="2">
        <f t="shared" si="6"/>
        <v>5.0999999999999091</v>
      </c>
      <c r="Y54" s="2"/>
      <c r="Z54" s="6">
        <f t="shared" si="7"/>
        <v>1.8681318681318347E-3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273.51</v>
      </c>
      <c r="E55" s="3"/>
      <c r="F55" s="8">
        <f t="shared" si="0"/>
        <v>3.2506071579389335E-4</v>
      </c>
      <c r="G55" s="3"/>
      <c r="H55" s="7">
        <v>273</v>
      </c>
      <c r="I55" s="3"/>
      <c r="J55" s="8">
        <f t="shared" si="1"/>
        <v>5.1066217732884404E-4</v>
      </c>
      <c r="K55" s="3"/>
      <c r="L55" s="7">
        <f t="shared" si="2"/>
        <v>0.50999999999999091</v>
      </c>
      <c r="M55" s="3"/>
      <c r="N55" s="8">
        <f t="shared" si="3"/>
        <v>1.8681318681318347E-3</v>
      </c>
      <c r="O55" s="12"/>
      <c r="P55" s="7">
        <v>2735.1</v>
      </c>
      <c r="Q55" s="3"/>
      <c r="R55" s="8">
        <f t="shared" si="4"/>
        <v>5.0961586311077333E-4</v>
      </c>
      <c r="S55" s="3"/>
      <c r="T55" s="7">
        <v>2730</v>
      </c>
      <c r="U55" s="3"/>
      <c r="V55" s="8">
        <f t="shared" si="5"/>
        <v>6.7257945306725794E-4</v>
      </c>
      <c r="W55" s="3"/>
      <c r="X55" s="7">
        <f t="shared" si="6"/>
        <v>5.0999999999999091</v>
      </c>
      <c r="Y55" s="3"/>
      <c r="Z55" s="8">
        <f t="shared" si="7"/>
        <v>1.8681318681318347E-3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2995.76</v>
      </c>
      <c r="E56" s="2"/>
      <c r="F56" s="6">
        <f t="shared" si="0"/>
        <v>3.5603959268279551E-3</v>
      </c>
      <c r="G56" s="2"/>
      <c r="H56" s="2">
        <f>SUM(OSRRefH22_6x_0)</f>
        <v>6500</v>
      </c>
      <c r="I56" s="2"/>
      <c r="J56" s="6">
        <f t="shared" si="1"/>
        <v>1.2158623269734381E-2</v>
      </c>
      <c r="K56" s="2"/>
      <c r="L56" s="2">
        <f t="shared" si="2"/>
        <v>-3504.24</v>
      </c>
      <c r="M56" s="2"/>
      <c r="N56" s="6">
        <f t="shared" si="3"/>
        <v>-0.53911384615384617</v>
      </c>
      <c r="O56" s="14"/>
      <c r="P56" s="2">
        <f>SUM(OSRRefP22_6x_0)</f>
        <v>21723.55</v>
      </c>
      <c r="Q56" s="2"/>
      <c r="R56" s="6">
        <f t="shared" si="4"/>
        <v>4.0476273931775953E-3</v>
      </c>
      <c r="S56" s="2"/>
      <c r="T56" s="2">
        <f>SUM(OSRRefT22_6x_0)</f>
        <v>58500</v>
      </c>
      <c r="U56" s="2"/>
      <c r="V56" s="6">
        <f t="shared" si="5"/>
        <v>1.4412416851441241E-2</v>
      </c>
      <c r="W56" s="2"/>
      <c r="X56" s="2">
        <f t="shared" si="6"/>
        <v>-36776.449999999997</v>
      </c>
      <c r="Y56" s="2"/>
      <c r="Z56" s="6">
        <f t="shared" si="7"/>
        <v>-0.62865726495726493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7">
        <v>2995.76</v>
      </c>
      <c r="E57" s="3"/>
      <c r="F57" s="8">
        <f t="shared" ref="F57:F89" si="8">IF(D$12=0,0,D57/D$12)</f>
        <v>3.5603959268279551E-3</v>
      </c>
      <c r="G57" s="3"/>
      <c r="H57" s="7">
        <v>6500</v>
      </c>
      <c r="I57" s="3"/>
      <c r="J57" s="8">
        <f t="shared" ref="J57:J89" si="9">IF(H$12=0,0,H57/H$12)</f>
        <v>1.2158623269734381E-2</v>
      </c>
      <c r="K57" s="3"/>
      <c r="L57" s="7">
        <f t="shared" ref="L57:L89" si="10">+D57-H57</f>
        <v>-3504.24</v>
      </c>
      <c r="M57" s="3"/>
      <c r="N57" s="8">
        <f t="shared" ref="N57:N89" si="11">IF(H57=0,0,L57/H57)</f>
        <v>-0.53911384615384617</v>
      </c>
      <c r="O57" s="12"/>
      <c r="P57" s="7">
        <v>21723.55</v>
      </c>
      <c r="Q57" s="3"/>
      <c r="R57" s="8">
        <f t="shared" ref="R57:R89" si="12">IF(P$12=0,0,P57/P$12)</f>
        <v>4.0476273931775953E-3</v>
      </c>
      <c r="S57" s="3"/>
      <c r="T57" s="7">
        <v>58500</v>
      </c>
      <c r="U57" s="3"/>
      <c r="V57" s="8">
        <f t="shared" ref="V57:V89" si="13">IF(T$12=0,0,T57/T$12)</f>
        <v>1.4412416851441241E-2</v>
      </c>
      <c r="W57" s="3"/>
      <c r="X57" s="7">
        <f t="shared" ref="X57:X89" si="14">+P57-T57</f>
        <v>-36776.449999999997</v>
      </c>
      <c r="Y57" s="3"/>
      <c r="Z57" s="8">
        <f t="shared" ref="Z57:Z89" si="15">IF(T57=0,0,X57/T57)</f>
        <v>-0.62865726495726493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150</v>
      </c>
      <c r="I58" s="2"/>
      <c r="J58" s="6">
        <f t="shared" si="9"/>
        <v>2.8058361391694727E-4</v>
      </c>
      <c r="K58" s="2"/>
      <c r="L58" s="2">
        <f t="shared" si="10"/>
        <v>-150</v>
      </c>
      <c r="M58" s="2"/>
      <c r="N58" s="6">
        <f t="shared" si="11"/>
        <v>-1</v>
      </c>
      <c r="O58" s="14"/>
      <c r="P58" s="2">
        <f>SUM(OSRRefP22_7x_0)</f>
        <v>200.77</v>
      </c>
      <c r="Q58" s="2"/>
      <c r="R58" s="6">
        <f t="shared" si="12"/>
        <v>3.7408349543618142E-5</v>
      </c>
      <c r="S58" s="2"/>
      <c r="T58" s="2">
        <f>SUM(OSRRefT22_7x_0)</f>
        <v>1500</v>
      </c>
      <c r="U58" s="2"/>
      <c r="V58" s="6">
        <f t="shared" si="13"/>
        <v>3.6954915003695491E-4</v>
      </c>
      <c r="W58" s="2"/>
      <c r="X58" s="2">
        <f t="shared" si="14"/>
        <v>-1299.23</v>
      </c>
      <c r="Y58" s="2"/>
      <c r="Z58" s="6">
        <f t="shared" si="15"/>
        <v>-0.86615333333333333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8"/>
        <v>0</v>
      </c>
      <c r="G59" s="3"/>
      <c r="H59" s="7">
        <v>150</v>
      </c>
      <c r="I59" s="3"/>
      <c r="J59" s="8">
        <f t="shared" si="9"/>
        <v>2.8058361391694727E-4</v>
      </c>
      <c r="K59" s="3"/>
      <c r="L59" s="7">
        <f t="shared" si="10"/>
        <v>-150</v>
      </c>
      <c r="M59" s="3"/>
      <c r="N59" s="8">
        <f t="shared" si="11"/>
        <v>-1</v>
      </c>
      <c r="O59" s="12"/>
      <c r="P59" s="7">
        <v>200.77</v>
      </c>
      <c r="Q59" s="3"/>
      <c r="R59" s="8">
        <f t="shared" si="12"/>
        <v>3.7408349543618142E-5</v>
      </c>
      <c r="S59" s="3"/>
      <c r="T59" s="7">
        <v>1500</v>
      </c>
      <c r="U59" s="3"/>
      <c r="V59" s="8">
        <f t="shared" si="13"/>
        <v>3.6954915003695491E-4</v>
      </c>
      <c r="W59" s="3"/>
      <c r="X59" s="7">
        <f t="shared" si="14"/>
        <v>-1299.23</v>
      </c>
      <c r="Y59" s="3"/>
      <c r="Z59" s="8">
        <f t="shared" si="15"/>
        <v>-0.86615333333333333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502.49</v>
      </c>
      <c r="E60" s="2"/>
      <c r="F60" s="6">
        <f t="shared" si="8"/>
        <v>5.9719849029020314E-4</v>
      </c>
      <c r="G60" s="2"/>
      <c r="H60" s="2">
        <f>SUM(OSRRefH22_8x_0)</f>
        <v>295</v>
      </c>
      <c r="I60" s="2"/>
      <c r="J60" s="6">
        <f t="shared" si="9"/>
        <v>5.518144407033296E-4</v>
      </c>
      <c r="K60" s="2"/>
      <c r="L60" s="2">
        <f t="shared" si="10"/>
        <v>207.49</v>
      </c>
      <c r="M60" s="2"/>
      <c r="N60" s="6">
        <f t="shared" si="11"/>
        <v>0.70335593220338988</v>
      </c>
      <c r="O60" s="14"/>
      <c r="P60" s="2">
        <f>SUM(OSRRefP22_8x_0)</f>
        <v>3370.74</v>
      </c>
      <c r="Q60" s="2"/>
      <c r="R60" s="6">
        <f t="shared" si="12"/>
        <v>6.2805110395305766E-4</v>
      </c>
      <c r="S60" s="2"/>
      <c r="T60" s="2">
        <f>SUM(OSRRefT22_8x_0)</f>
        <v>2950</v>
      </c>
      <c r="U60" s="2"/>
      <c r="V60" s="6">
        <f t="shared" si="13"/>
        <v>7.26779995072678E-4</v>
      </c>
      <c r="W60" s="2"/>
      <c r="X60" s="2">
        <f t="shared" si="14"/>
        <v>420.73999999999978</v>
      </c>
      <c r="Y60" s="2"/>
      <c r="Z60" s="6">
        <f t="shared" si="15"/>
        <v>0.14262372881355925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7">
        <v>502.49</v>
      </c>
      <c r="E61" s="3"/>
      <c r="F61" s="8">
        <f t="shared" si="8"/>
        <v>5.9719849029020314E-4</v>
      </c>
      <c r="G61" s="3"/>
      <c r="H61" s="7">
        <v>295</v>
      </c>
      <c r="I61" s="3"/>
      <c r="J61" s="8">
        <f t="shared" si="9"/>
        <v>5.518144407033296E-4</v>
      </c>
      <c r="K61" s="3"/>
      <c r="L61" s="7">
        <f t="shared" si="10"/>
        <v>207.49</v>
      </c>
      <c r="M61" s="3"/>
      <c r="N61" s="8">
        <f t="shared" si="11"/>
        <v>0.70335593220338988</v>
      </c>
      <c r="O61" s="12"/>
      <c r="P61" s="7">
        <v>3370.74</v>
      </c>
      <c r="Q61" s="3"/>
      <c r="R61" s="8">
        <f t="shared" si="12"/>
        <v>6.2805110395305766E-4</v>
      </c>
      <c r="S61" s="3"/>
      <c r="T61" s="7">
        <v>2950</v>
      </c>
      <c r="U61" s="3"/>
      <c r="V61" s="8">
        <f t="shared" si="13"/>
        <v>7.26779995072678E-4</v>
      </c>
      <c r="W61" s="3"/>
      <c r="X61" s="7">
        <f t="shared" si="14"/>
        <v>420.73999999999978</v>
      </c>
      <c r="Y61" s="3"/>
      <c r="Z61" s="8">
        <f t="shared" si="15"/>
        <v>0.14262372881355925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2134.44</v>
      </c>
      <c r="E62" s="2"/>
      <c r="F62" s="6">
        <f t="shared" si="8"/>
        <v>2.5367357472089419E-3</v>
      </c>
      <c r="G62" s="2"/>
      <c r="H62" s="2">
        <f>SUM(OSRRefH22_9x_0)</f>
        <v>190</v>
      </c>
      <c r="I62" s="2"/>
      <c r="J62" s="6">
        <f t="shared" si="9"/>
        <v>3.5540591096146651E-4</v>
      </c>
      <c r="K62" s="2"/>
      <c r="L62" s="2">
        <f t="shared" si="10"/>
        <v>1944.44</v>
      </c>
      <c r="M62" s="2"/>
      <c r="N62" s="6">
        <f t="shared" si="11"/>
        <v>10.233894736842105</v>
      </c>
      <c r="O62" s="14"/>
      <c r="P62" s="2">
        <f>SUM(OSRRefP22_9x_0)</f>
        <v>4060.62</v>
      </c>
      <c r="Q62" s="2"/>
      <c r="R62" s="6">
        <f t="shared" si="12"/>
        <v>7.5659258018531987E-4</v>
      </c>
      <c r="S62" s="2"/>
      <c r="T62" s="2">
        <f>SUM(OSRRefT22_9x_0)</f>
        <v>3420</v>
      </c>
      <c r="U62" s="2"/>
      <c r="V62" s="6">
        <f t="shared" si="13"/>
        <v>8.4257206208425721E-4</v>
      </c>
      <c r="W62" s="2"/>
      <c r="X62" s="2">
        <f t="shared" si="14"/>
        <v>640.61999999999989</v>
      </c>
      <c r="Y62" s="2"/>
      <c r="Z62" s="6">
        <f t="shared" si="15"/>
        <v>0.18731578947368419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7">
        <v>2134.44</v>
      </c>
      <c r="E63" s="3"/>
      <c r="F63" s="8">
        <f t="shared" si="8"/>
        <v>2.5367357472089419E-3</v>
      </c>
      <c r="G63" s="3"/>
      <c r="H63" s="7">
        <v>190</v>
      </c>
      <c r="I63" s="3"/>
      <c r="J63" s="8">
        <f t="shared" si="9"/>
        <v>3.5540591096146651E-4</v>
      </c>
      <c r="K63" s="3"/>
      <c r="L63" s="7">
        <f t="shared" si="10"/>
        <v>1944.44</v>
      </c>
      <c r="M63" s="3"/>
      <c r="N63" s="8">
        <f t="shared" si="11"/>
        <v>10.233894736842105</v>
      </c>
      <c r="O63" s="12"/>
      <c r="P63" s="7">
        <v>4060.62</v>
      </c>
      <c r="Q63" s="3"/>
      <c r="R63" s="8">
        <f t="shared" si="12"/>
        <v>7.5659258018531987E-4</v>
      </c>
      <c r="S63" s="3"/>
      <c r="T63" s="7">
        <v>3420</v>
      </c>
      <c r="U63" s="3"/>
      <c r="V63" s="8">
        <f t="shared" si="13"/>
        <v>8.4257206208425721E-4</v>
      </c>
      <c r="W63" s="3"/>
      <c r="X63" s="7">
        <f t="shared" si="14"/>
        <v>640.61999999999989</v>
      </c>
      <c r="Y63" s="3"/>
      <c r="Z63" s="8">
        <f t="shared" si="15"/>
        <v>0.18731578947368419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66706.97</v>
      </c>
      <c r="E64" s="2"/>
      <c r="F64" s="6">
        <f t="shared" si="8"/>
        <v>7.927979019648923E-2</v>
      </c>
      <c r="G64" s="2"/>
      <c r="H64" s="2">
        <f>SUM(OSRRefH22_10x_0)</f>
        <v>42768</v>
      </c>
      <c r="I64" s="2"/>
      <c r="J64" s="6">
        <f t="shared" si="9"/>
        <v>0.08</v>
      </c>
      <c r="K64" s="2"/>
      <c r="L64" s="2">
        <f t="shared" si="10"/>
        <v>23938.97</v>
      </c>
      <c r="M64" s="2"/>
      <c r="N64" s="6">
        <f t="shared" si="11"/>
        <v>0.55974022633744858</v>
      </c>
      <c r="O64" s="14"/>
      <c r="P64" s="2">
        <f>SUM(OSRRefP22_10x_0)</f>
        <v>423634.73</v>
      </c>
      <c r="Q64" s="2"/>
      <c r="R64" s="6">
        <f t="shared" si="12"/>
        <v>7.8933486370754063E-2</v>
      </c>
      <c r="S64" s="2"/>
      <c r="T64" s="2">
        <f>SUM(OSRRefT22_10x_0)</f>
        <v>322560</v>
      </c>
      <c r="U64" s="2"/>
      <c r="V64" s="6">
        <f t="shared" si="13"/>
        <v>7.9467849223946785E-2</v>
      </c>
      <c r="W64" s="2"/>
      <c r="X64" s="2">
        <f t="shared" si="14"/>
        <v>101074.72999999998</v>
      </c>
      <c r="Y64" s="2"/>
      <c r="Z64" s="6">
        <f t="shared" si="15"/>
        <v>0.31335171750992058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7">
        <v>66706.97</v>
      </c>
      <c r="E65" s="3"/>
      <c r="F65" s="8">
        <f t="shared" si="8"/>
        <v>7.927979019648923E-2</v>
      </c>
      <c r="G65" s="3"/>
      <c r="H65" s="7">
        <v>42768</v>
      </c>
      <c r="I65" s="3"/>
      <c r="J65" s="8">
        <f t="shared" si="9"/>
        <v>0.08</v>
      </c>
      <c r="K65" s="3"/>
      <c r="L65" s="7">
        <f t="shared" si="10"/>
        <v>23938.97</v>
      </c>
      <c r="M65" s="3"/>
      <c r="N65" s="8">
        <f t="shared" si="11"/>
        <v>0.55974022633744858</v>
      </c>
      <c r="O65" s="12"/>
      <c r="P65" s="7">
        <v>423634.73</v>
      </c>
      <c r="Q65" s="3"/>
      <c r="R65" s="8">
        <f t="shared" si="12"/>
        <v>7.8933486370754063E-2</v>
      </c>
      <c r="S65" s="3"/>
      <c r="T65" s="7">
        <v>322560</v>
      </c>
      <c r="U65" s="3"/>
      <c r="V65" s="8">
        <f t="shared" si="13"/>
        <v>7.9467849223946785E-2</v>
      </c>
      <c r="W65" s="3"/>
      <c r="X65" s="7">
        <f t="shared" si="14"/>
        <v>101074.72999999998</v>
      </c>
      <c r="Y65" s="3"/>
      <c r="Z65" s="8">
        <f t="shared" si="15"/>
        <v>0.31335171750992058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4.67</v>
      </c>
      <c r="E66" s="2"/>
      <c r="F66" s="6">
        <f t="shared" si="8"/>
        <v>5.5501939335215603E-6</v>
      </c>
      <c r="G66" s="2"/>
      <c r="H66" s="2">
        <f>SUM(OSRRefH22_11x_0)</f>
        <v>2200</v>
      </c>
      <c r="I66" s="2"/>
      <c r="J66" s="6">
        <f t="shared" si="9"/>
        <v>4.11522633744856E-3</v>
      </c>
      <c r="K66" s="2"/>
      <c r="L66" s="2">
        <f t="shared" si="10"/>
        <v>-2195.33</v>
      </c>
      <c r="M66" s="2"/>
      <c r="N66" s="6">
        <f t="shared" si="11"/>
        <v>-0.99787727272727267</v>
      </c>
      <c r="O66" s="14"/>
      <c r="P66" s="2">
        <f>SUM(OSRRefP22_11x_0)</f>
        <v>5924.67</v>
      </c>
      <c r="Q66" s="2"/>
      <c r="R66" s="6">
        <f t="shared" si="12"/>
        <v>1.1039105757363553E-3</v>
      </c>
      <c r="S66" s="2"/>
      <c r="T66" s="2">
        <f>SUM(OSRRefT22_11x_0)</f>
        <v>8000</v>
      </c>
      <c r="U66" s="2"/>
      <c r="V66" s="6">
        <f t="shared" si="13"/>
        <v>1.9709288001970929E-3</v>
      </c>
      <c r="W66" s="2"/>
      <c r="X66" s="2">
        <f t="shared" si="14"/>
        <v>-2075.33</v>
      </c>
      <c r="Y66" s="2"/>
      <c r="Z66" s="6">
        <f t="shared" si="15"/>
        <v>-0.25941625000000001</v>
      </c>
    </row>
    <row r="67" spans="1:26" s="70" customFormat="1" ht="15" hidden="1" customHeight="1" outlineLevel="2" x14ac:dyDescent="0.3">
      <c r="A67" s="26"/>
      <c r="B67" s="12" t="str">
        <f>CONCATENATE("          ","6373"," - ","MAINTENANCE CONTRACTS")</f>
        <v xml:space="preserve">          6373 - MAINTENANCE CONTRACTS</v>
      </c>
      <c r="C67" s="12"/>
      <c r="D67" s="7">
        <v>4.67</v>
      </c>
      <c r="E67" s="3"/>
      <c r="F67" s="8">
        <f t="shared" si="8"/>
        <v>5.5501939335215603E-6</v>
      </c>
      <c r="G67" s="3"/>
      <c r="H67" s="7">
        <v>2000</v>
      </c>
      <c r="I67" s="3"/>
      <c r="J67" s="8">
        <f t="shared" si="9"/>
        <v>3.7411148522259632E-3</v>
      </c>
      <c r="K67" s="3"/>
      <c r="L67" s="7">
        <f t="shared" si="10"/>
        <v>-1995.33</v>
      </c>
      <c r="M67" s="3"/>
      <c r="N67" s="8">
        <f t="shared" si="11"/>
        <v>-0.99766499999999991</v>
      </c>
      <c r="O67" s="12"/>
      <c r="P67" s="7">
        <v>3986.64</v>
      </c>
      <c r="Q67" s="3"/>
      <c r="R67" s="8">
        <f t="shared" si="12"/>
        <v>7.4280830116337003E-4</v>
      </c>
      <c r="S67" s="3"/>
      <c r="T67" s="7">
        <v>6000</v>
      </c>
      <c r="U67" s="3"/>
      <c r="V67" s="8">
        <f t="shared" si="13"/>
        <v>1.4781966001478197E-3</v>
      </c>
      <c r="W67" s="3"/>
      <c r="X67" s="7">
        <f t="shared" si="14"/>
        <v>-2013.3600000000001</v>
      </c>
      <c r="Y67" s="3"/>
      <c r="Z67" s="8">
        <f t="shared" si="15"/>
        <v>-0.33556000000000002</v>
      </c>
    </row>
    <row r="68" spans="1:26" s="70" customFormat="1" ht="15" hidden="1" customHeight="1" outlineLevel="2" x14ac:dyDescent="0.3">
      <c r="A68" s="26"/>
      <c r="B68" s="12" t="str">
        <f>CONCATENATE("          ","6375"," - ","OUTSIDE REPAIRS &amp; MAINTENANCE")</f>
        <v xml:space="preserve">          6375 - OUTSIDE REPAIRS &amp; MAINTENANCE</v>
      </c>
      <c r="C68" s="12"/>
      <c r="D68" s="7"/>
      <c r="E68" s="3"/>
      <c r="F68" s="8">
        <f t="shared" si="8"/>
        <v>0</v>
      </c>
      <c r="G68" s="3"/>
      <c r="H68" s="7">
        <v>200</v>
      </c>
      <c r="I68" s="3"/>
      <c r="J68" s="8">
        <f t="shared" si="9"/>
        <v>3.7411148522259631E-4</v>
      </c>
      <c r="K68" s="3"/>
      <c r="L68" s="7">
        <f t="shared" si="10"/>
        <v>-200</v>
      </c>
      <c r="M68" s="3"/>
      <c r="N68" s="8">
        <f t="shared" si="11"/>
        <v>-1</v>
      </c>
      <c r="O68" s="12"/>
      <c r="P68" s="7">
        <v>1938.03</v>
      </c>
      <c r="Q68" s="3"/>
      <c r="R68" s="8">
        <f t="shared" si="12"/>
        <v>3.6110227457298531E-4</v>
      </c>
      <c r="S68" s="3"/>
      <c r="T68" s="7">
        <v>2000</v>
      </c>
      <c r="U68" s="3"/>
      <c r="V68" s="8">
        <f t="shared" si="13"/>
        <v>4.9273220004927322E-4</v>
      </c>
      <c r="W68" s="3"/>
      <c r="X68" s="7">
        <f t="shared" si="14"/>
        <v>-61.970000000000027</v>
      </c>
      <c r="Y68" s="3"/>
      <c r="Z68" s="8">
        <f t="shared" si="15"/>
        <v>-3.0985000000000013E-2</v>
      </c>
    </row>
    <row r="69" spans="1:26" s="69" customFormat="1" ht="15" customHeight="1" outlineLevel="1" collapsed="1" x14ac:dyDescent="0.3">
      <c r="A69" s="25"/>
      <c r="B69" s="14" t="str">
        <f>CONCATENATE("     ","Services                                          ")</f>
        <v xml:space="preserve">     Services                                          </v>
      </c>
      <c r="C69" s="14"/>
      <c r="D69" s="2">
        <f>SUM(OSRRefD22_12x_0)</f>
        <v>7412</v>
      </c>
      <c r="E69" s="2"/>
      <c r="F69" s="6">
        <f t="shared" si="8"/>
        <v>8.8090015921331484E-3</v>
      </c>
      <c r="G69" s="2"/>
      <c r="H69" s="2">
        <f>SUM(OSRRefH22_12x_0)</f>
        <v>7422</v>
      </c>
      <c r="I69" s="2"/>
      <c r="J69" s="6">
        <f t="shared" si="9"/>
        <v>1.388327721661055E-2</v>
      </c>
      <c r="K69" s="2"/>
      <c r="L69" s="2">
        <f t="shared" si="10"/>
        <v>-10</v>
      </c>
      <c r="M69" s="2"/>
      <c r="N69" s="6">
        <f t="shared" si="11"/>
        <v>-1.3473457289140394E-3</v>
      </c>
      <c r="O69" s="14"/>
      <c r="P69" s="2">
        <f>SUM(OSRRefP22_12x_0)</f>
        <v>67419.78</v>
      </c>
      <c r="Q69" s="2"/>
      <c r="R69" s="6">
        <f t="shared" si="12"/>
        <v>1.2561949974567093E-2</v>
      </c>
      <c r="S69" s="2"/>
      <c r="T69" s="2">
        <f>SUM(OSRRefT22_12x_0)</f>
        <v>72588</v>
      </c>
      <c r="U69" s="2"/>
      <c r="V69" s="6">
        <f t="shared" si="13"/>
        <v>1.7883222468588322E-2</v>
      </c>
      <c r="W69" s="2"/>
      <c r="X69" s="2">
        <f t="shared" si="14"/>
        <v>-5168.2200000000012</v>
      </c>
      <c r="Y69" s="2"/>
      <c r="Z69" s="6">
        <f t="shared" si="15"/>
        <v>-7.1199371796991248E-2</v>
      </c>
    </row>
    <row r="70" spans="1:26" s="70" customFormat="1" ht="15" hidden="1" customHeight="1" outlineLevel="2" x14ac:dyDescent="0.3">
      <c r="A70" s="26"/>
      <c r="B70" s="12" t="str">
        <f>CONCATENATE("          ","6282"," - ","JANITORIAL/EXTERMINATOR EXPENS")</f>
        <v xml:space="preserve">          6282 - JANITORIAL/EXTERMINATOR EXPENS</v>
      </c>
      <c r="C70" s="12"/>
      <c r="D70" s="7">
        <v>459.25</v>
      </c>
      <c r="E70" s="3"/>
      <c r="F70" s="8">
        <f t="shared" si="8"/>
        <v>5.4580868607489866E-4</v>
      </c>
      <c r="G70" s="3"/>
      <c r="H70" s="7">
        <v>450</v>
      </c>
      <c r="I70" s="3"/>
      <c r="J70" s="8">
        <f t="shared" si="9"/>
        <v>8.4175084175084171E-4</v>
      </c>
      <c r="K70" s="3"/>
      <c r="L70" s="7">
        <f t="shared" si="10"/>
        <v>9.25</v>
      </c>
      <c r="M70" s="3"/>
      <c r="N70" s="8">
        <f t="shared" si="11"/>
        <v>2.0555555555555556E-2</v>
      </c>
      <c r="O70" s="12"/>
      <c r="P70" s="7">
        <v>5496.05</v>
      </c>
      <c r="Q70" s="3"/>
      <c r="R70" s="8">
        <f t="shared" si="12"/>
        <v>1.0240482119300816E-3</v>
      </c>
      <c r="S70" s="3"/>
      <c r="T70" s="7">
        <v>4500</v>
      </c>
      <c r="U70" s="3"/>
      <c r="V70" s="8">
        <f t="shared" si="13"/>
        <v>1.1086474501108647E-3</v>
      </c>
      <c r="W70" s="3"/>
      <c r="X70" s="7">
        <f t="shared" si="14"/>
        <v>996.05000000000018</v>
      </c>
      <c r="Y70" s="3"/>
      <c r="Z70" s="8">
        <f t="shared" si="15"/>
        <v>0.22134444444444448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7"/>
      <c r="E71" s="3"/>
      <c r="F71" s="8">
        <f t="shared" si="8"/>
        <v>0</v>
      </c>
      <c r="G71" s="3"/>
      <c r="H71" s="7">
        <v>50</v>
      </c>
      <c r="I71" s="3"/>
      <c r="J71" s="8">
        <f t="shared" si="9"/>
        <v>9.3527871305649078E-5</v>
      </c>
      <c r="K71" s="3"/>
      <c r="L71" s="7">
        <f t="shared" si="10"/>
        <v>-50</v>
      </c>
      <c r="M71" s="3"/>
      <c r="N71" s="8">
        <f t="shared" si="11"/>
        <v>-1</v>
      </c>
      <c r="O71" s="12"/>
      <c r="P71" s="7"/>
      <c r="Q71" s="3"/>
      <c r="R71" s="8">
        <f t="shared" si="12"/>
        <v>0</v>
      </c>
      <c r="S71" s="3"/>
      <c r="T71" s="7">
        <v>500</v>
      </c>
      <c r="U71" s="3"/>
      <c r="V71" s="8">
        <f t="shared" si="13"/>
        <v>1.231830500123183E-4</v>
      </c>
      <c r="W71" s="3"/>
      <c r="X71" s="7">
        <f t="shared" si="14"/>
        <v>-500</v>
      </c>
      <c r="Y71" s="3"/>
      <c r="Z71" s="8">
        <f t="shared" si="15"/>
        <v>-1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7">
        <v>4468.33</v>
      </c>
      <c r="E72" s="3"/>
      <c r="F72" s="8">
        <f t="shared" si="8"/>
        <v>5.3105135029919469E-3</v>
      </c>
      <c r="G72" s="3"/>
      <c r="H72" s="7">
        <v>5255</v>
      </c>
      <c r="I72" s="3"/>
      <c r="J72" s="8">
        <f t="shared" si="9"/>
        <v>9.8297792742237187E-3</v>
      </c>
      <c r="K72" s="3"/>
      <c r="L72" s="7">
        <f t="shared" si="10"/>
        <v>-786.67000000000007</v>
      </c>
      <c r="M72" s="3"/>
      <c r="N72" s="8">
        <f t="shared" si="11"/>
        <v>-0.14969933396764987</v>
      </c>
      <c r="O72" s="12"/>
      <c r="P72" s="7">
        <v>49303.040000000001</v>
      </c>
      <c r="Q72" s="3"/>
      <c r="R72" s="8">
        <f t="shared" si="12"/>
        <v>9.1863592861632058E-3</v>
      </c>
      <c r="S72" s="3"/>
      <c r="T72" s="7">
        <v>50918</v>
      </c>
      <c r="U72" s="3"/>
      <c r="V72" s="8">
        <f t="shared" si="13"/>
        <v>1.2544469081054447E-2</v>
      </c>
      <c r="W72" s="3"/>
      <c r="X72" s="7">
        <f t="shared" si="14"/>
        <v>-1614.9599999999991</v>
      </c>
      <c r="Y72" s="3"/>
      <c r="Z72" s="8">
        <f t="shared" si="15"/>
        <v>-3.1716878117757946E-2</v>
      </c>
    </row>
    <row r="73" spans="1:26" s="70" customFormat="1" ht="15" hidden="1" customHeight="1" outlineLevel="2" x14ac:dyDescent="0.3">
      <c r="A73" s="26"/>
      <c r="B73" s="12" t="str">
        <f>CONCATENATE("          ","6286"," - ","LAUNDRY EXPENSE")</f>
        <v xml:space="preserve">          6286 - LAUNDRY EXPENSE</v>
      </c>
      <c r="C73" s="12"/>
      <c r="D73" s="7">
        <v>2484.42</v>
      </c>
      <c r="E73" s="3"/>
      <c r="F73" s="8">
        <f t="shared" si="8"/>
        <v>2.9526794030663031E-3</v>
      </c>
      <c r="G73" s="3"/>
      <c r="H73" s="7">
        <v>1667</v>
      </c>
      <c r="I73" s="3"/>
      <c r="J73" s="8">
        <f t="shared" si="9"/>
        <v>3.1182192293303405E-3</v>
      </c>
      <c r="K73" s="3"/>
      <c r="L73" s="7">
        <f t="shared" si="10"/>
        <v>817.42000000000007</v>
      </c>
      <c r="M73" s="3"/>
      <c r="N73" s="8">
        <f t="shared" si="11"/>
        <v>0.49035392921415721</v>
      </c>
      <c r="O73" s="12"/>
      <c r="P73" s="7">
        <v>12620.69</v>
      </c>
      <c r="Q73" s="3"/>
      <c r="R73" s="8">
        <f t="shared" si="12"/>
        <v>2.351542476473806E-3</v>
      </c>
      <c r="S73" s="3"/>
      <c r="T73" s="7">
        <v>16670</v>
      </c>
      <c r="U73" s="3"/>
      <c r="V73" s="8">
        <f t="shared" si="13"/>
        <v>4.1069228874106925E-3</v>
      </c>
      <c r="W73" s="3"/>
      <c r="X73" s="7">
        <f t="shared" si="14"/>
        <v>-4049.3099999999995</v>
      </c>
      <c r="Y73" s="3"/>
      <c r="Z73" s="8">
        <f t="shared" si="15"/>
        <v>-0.24291001799640069</v>
      </c>
    </row>
    <row r="74" spans="1:26" s="69" customFormat="1" ht="15" customHeight="1" outlineLevel="1" collapsed="1" x14ac:dyDescent="0.3">
      <c r="A74" s="2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SUM(OSRRefD22_13x_0)</f>
        <v>0</v>
      </c>
      <c r="E74" s="2"/>
      <c r="F74" s="6">
        <f t="shared" si="8"/>
        <v>0</v>
      </c>
      <c r="G74" s="2"/>
      <c r="H74" s="2">
        <f>SUM(OSRRefH22_13x_0)</f>
        <v>0</v>
      </c>
      <c r="I74" s="2"/>
      <c r="J74" s="6">
        <f t="shared" si="9"/>
        <v>0</v>
      </c>
      <c r="K74" s="2"/>
      <c r="L74" s="2">
        <f t="shared" si="10"/>
        <v>0</v>
      </c>
      <c r="M74" s="2"/>
      <c r="N74" s="6">
        <f t="shared" si="11"/>
        <v>0</v>
      </c>
      <c r="O74" s="14"/>
      <c r="P74" s="2">
        <f>SUM(OSRRefP22_13x_0)</f>
        <v>0</v>
      </c>
      <c r="Q74" s="2"/>
      <c r="R74" s="6">
        <f t="shared" si="12"/>
        <v>0</v>
      </c>
      <c r="S74" s="2"/>
      <c r="T74" s="2">
        <f>SUM(OSRRefT22_13x_0)</f>
        <v>795</v>
      </c>
      <c r="U74" s="2"/>
      <c r="V74" s="6">
        <f t="shared" si="13"/>
        <v>1.958610495195861E-4</v>
      </c>
      <c r="W74" s="2"/>
      <c r="X74" s="2">
        <f t="shared" si="14"/>
        <v>-795</v>
      </c>
      <c r="Y74" s="2"/>
      <c r="Z74" s="6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","6258"," - ","MEMBERSHIP DUES")</f>
        <v xml:space="preserve">          6258 - MEMBERSHIP DUES</v>
      </c>
      <c r="C75" s="12"/>
      <c r="D75" s="7"/>
      <c r="E75" s="3"/>
      <c r="F75" s="8">
        <f t="shared" si="8"/>
        <v>0</v>
      </c>
      <c r="G75" s="3"/>
      <c r="H75" s="7"/>
      <c r="I75" s="3"/>
      <c r="J75" s="8">
        <f t="shared" si="9"/>
        <v>0</v>
      </c>
      <c r="K75" s="3"/>
      <c r="L75" s="7">
        <f t="shared" si="10"/>
        <v>0</v>
      </c>
      <c r="M75" s="3"/>
      <c r="N75" s="8">
        <f t="shared" si="11"/>
        <v>0</v>
      </c>
      <c r="O75" s="12"/>
      <c r="P75" s="7"/>
      <c r="Q75" s="3"/>
      <c r="R75" s="8">
        <f t="shared" si="12"/>
        <v>0</v>
      </c>
      <c r="S75" s="3"/>
      <c r="T75" s="7">
        <v>795</v>
      </c>
      <c r="U75" s="3"/>
      <c r="V75" s="8">
        <f t="shared" si="13"/>
        <v>1.958610495195861E-4</v>
      </c>
      <c r="W75" s="3"/>
      <c r="X75" s="7">
        <f t="shared" si="14"/>
        <v>-795</v>
      </c>
      <c r="Y75" s="3"/>
      <c r="Z75" s="8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13470.79</v>
      </c>
      <c r="E76" s="2"/>
      <c r="F76" s="6">
        <f t="shared" si="8"/>
        <v>1.6009742384955655E-2</v>
      </c>
      <c r="G76" s="2"/>
      <c r="H76" s="2">
        <f>SUM(OSRRefH22_14x_0)</f>
        <v>13066</v>
      </c>
      <c r="I76" s="2"/>
      <c r="J76" s="6">
        <f t="shared" si="9"/>
        <v>2.4440703329592219E-2</v>
      </c>
      <c r="K76" s="2"/>
      <c r="L76" s="2">
        <f t="shared" si="10"/>
        <v>404.79000000000087</v>
      </c>
      <c r="M76" s="2"/>
      <c r="N76" s="6">
        <f t="shared" si="11"/>
        <v>3.0980407163630864E-2</v>
      </c>
      <c r="O76" s="14"/>
      <c r="P76" s="2">
        <f>SUM(OSRRefP22_14x_0)</f>
        <v>140064.64000000001</v>
      </c>
      <c r="Q76" s="2"/>
      <c r="R76" s="6">
        <f t="shared" si="12"/>
        <v>2.6097459838726102E-2</v>
      </c>
      <c r="S76" s="2"/>
      <c r="T76" s="2">
        <f>SUM(OSRRefT22_14x_0)</f>
        <v>130660</v>
      </c>
      <c r="U76" s="2"/>
      <c r="V76" s="6">
        <f t="shared" si="13"/>
        <v>3.2190194629219022E-2</v>
      </c>
      <c r="W76" s="2"/>
      <c r="X76" s="2">
        <f t="shared" si="14"/>
        <v>9404.640000000014</v>
      </c>
      <c r="Y76" s="2"/>
      <c r="Z76" s="6">
        <f t="shared" si="15"/>
        <v>7.197795805908476E-2</v>
      </c>
    </row>
    <row r="77" spans="1:26" s="70" customFormat="1" ht="15" hidden="1" customHeight="1" outlineLevel="2" x14ac:dyDescent="0.3">
      <c r="A77" s="26"/>
      <c r="B77" s="12" t="str">
        <f>CONCATENATE("          ","6234"," - ","EXPENDABLE SUPPLIES &amp; EQUIPMEN")</f>
        <v xml:space="preserve">          6234 - EXPENDABLE SUPPLIES &amp; EQUIPMEN</v>
      </c>
      <c r="C77" s="12"/>
      <c r="D77" s="7"/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0</v>
      </c>
      <c r="M77" s="3"/>
      <c r="N77" s="8">
        <f t="shared" si="11"/>
        <v>0</v>
      </c>
      <c r="O77" s="12"/>
      <c r="P77" s="7">
        <v>315</v>
      </c>
      <c r="Q77" s="3"/>
      <c r="R77" s="8">
        <f t="shared" si="12"/>
        <v>5.8692185616574756E-5</v>
      </c>
      <c r="S77" s="3"/>
      <c r="T77" s="7"/>
      <c r="U77" s="3"/>
      <c r="V77" s="8">
        <f t="shared" si="13"/>
        <v>0</v>
      </c>
      <c r="W77" s="3"/>
      <c r="X77" s="7">
        <f t="shared" si="14"/>
        <v>315</v>
      </c>
      <c r="Y77" s="3"/>
      <c r="Z77" s="8">
        <f t="shared" si="15"/>
        <v>0</v>
      </c>
    </row>
    <row r="78" spans="1:26" s="70" customFormat="1" ht="15" hidden="1" customHeight="1" outlineLevel="2" x14ac:dyDescent="0.3">
      <c r="A78" s="26"/>
      <c r="B78" s="12" t="str">
        <f>CONCATENATE("          ","6235"," - ","COVID-19 EXPENSES")</f>
        <v xml:space="preserve">          6235 - COVID-19 EXPENSES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158.76</v>
      </c>
      <c r="Q78" s="3"/>
      <c r="R78" s="8">
        <f t="shared" si="12"/>
        <v>2.9580861550753673E-5</v>
      </c>
      <c r="S78" s="3"/>
      <c r="T78" s="7"/>
      <c r="U78" s="3"/>
      <c r="V78" s="8">
        <f t="shared" si="13"/>
        <v>0</v>
      </c>
      <c r="W78" s="3"/>
      <c r="X78" s="7">
        <f t="shared" si="14"/>
        <v>158.76</v>
      </c>
      <c r="Y78" s="3"/>
      <c r="Z78" s="8">
        <f t="shared" si="15"/>
        <v>0</v>
      </c>
    </row>
    <row r="79" spans="1:26" s="70" customFormat="1" ht="15" hidden="1" customHeight="1" outlineLevel="2" x14ac:dyDescent="0.3">
      <c r="A79" s="26"/>
      <c r="B79" s="12" t="str">
        <f>CONCATENATE("          ","6237"," - ","JANITORIAL SUPPLIES")</f>
        <v xml:space="preserve">          6237 - JANITORIAL SUPPLIES</v>
      </c>
      <c r="C79" s="12"/>
      <c r="D79" s="7">
        <v>7612.72</v>
      </c>
      <c r="E79" s="3"/>
      <c r="F79" s="8">
        <f t="shared" si="8"/>
        <v>9.0475529682223239E-3</v>
      </c>
      <c r="G79" s="3"/>
      <c r="H79" s="7">
        <v>3750</v>
      </c>
      <c r="I79" s="3"/>
      <c r="J79" s="8">
        <f t="shared" si="9"/>
        <v>7.0145903479236814E-3</v>
      </c>
      <c r="K79" s="3"/>
      <c r="L79" s="7">
        <f t="shared" si="10"/>
        <v>3862.7200000000003</v>
      </c>
      <c r="M79" s="3"/>
      <c r="N79" s="8">
        <f t="shared" si="11"/>
        <v>1.0300586666666667</v>
      </c>
      <c r="O79" s="12"/>
      <c r="P79" s="7">
        <v>27698.62</v>
      </c>
      <c r="Q79" s="3"/>
      <c r="R79" s="8">
        <f t="shared" si="12"/>
        <v>5.1609287186126021E-3</v>
      </c>
      <c r="S79" s="3"/>
      <c r="T79" s="7">
        <v>37500</v>
      </c>
      <c r="U79" s="3"/>
      <c r="V79" s="8">
        <f t="shared" si="13"/>
        <v>9.2387287509238733E-3</v>
      </c>
      <c r="W79" s="3"/>
      <c r="X79" s="7">
        <f t="shared" si="14"/>
        <v>-9801.380000000001</v>
      </c>
      <c r="Y79" s="3"/>
      <c r="Z79" s="8">
        <f t="shared" si="15"/>
        <v>-0.26137013333333337</v>
      </c>
    </row>
    <row r="80" spans="1:26" s="70" customFormat="1" ht="15" hidden="1" customHeight="1" outlineLevel="2" x14ac:dyDescent="0.3">
      <c r="A80" s="26"/>
      <c r="B80" s="12" t="str">
        <f>CONCATENATE("          ","6239"," - ","KITCHEN SUPPLIES")</f>
        <v xml:space="preserve">          6239 - KITCHEN SUPPLIES</v>
      </c>
      <c r="C80" s="12"/>
      <c r="D80" s="7">
        <v>529.97</v>
      </c>
      <c r="E80" s="3"/>
      <c r="F80" s="8">
        <f t="shared" si="8"/>
        <v>6.2985787557782048E-4</v>
      </c>
      <c r="G80" s="3"/>
      <c r="H80" s="7">
        <v>1800</v>
      </c>
      <c r="I80" s="3"/>
      <c r="J80" s="8">
        <f t="shared" si="9"/>
        <v>3.3670033670033669E-3</v>
      </c>
      <c r="K80" s="3"/>
      <c r="L80" s="7">
        <f t="shared" si="10"/>
        <v>-1270.03</v>
      </c>
      <c r="M80" s="3"/>
      <c r="N80" s="8">
        <f t="shared" si="11"/>
        <v>-0.70557222222222216</v>
      </c>
      <c r="O80" s="12"/>
      <c r="P80" s="7">
        <v>10926.64</v>
      </c>
      <c r="Q80" s="3"/>
      <c r="R80" s="8">
        <f t="shared" si="12"/>
        <v>2.0358996287158423E-3</v>
      </c>
      <c r="S80" s="3"/>
      <c r="T80" s="7">
        <v>18000</v>
      </c>
      <c r="U80" s="3"/>
      <c r="V80" s="8">
        <f t="shared" si="13"/>
        <v>4.434589800443459E-3</v>
      </c>
      <c r="W80" s="3"/>
      <c r="X80" s="7">
        <f t="shared" si="14"/>
        <v>-7073.3600000000006</v>
      </c>
      <c r="Y80" s="3"/>
      <c r="Z80" s="8">
        <f t="shared" si="15"/>
        <v>-0.39296444444444445</v>
      </c>
    </row>
    <row r="81" spans="1:26" s="70" customFormat="1" ht="15" hidden="1" customHeight="1" outlineLevel="2" x14ac:dyDescent="0.3">
      <c r="A81" s="26"/>
      <c r="B81" s="12" t="str">
        <f>CONCATENATE("          ","6241"," - ","OFFICE EXPENSE")</f>
        <v xml:space="preserve">          6241 - OFFICE EXPENSE</v>
      </c>
      <c r="C81" s="12"/>
      <c r="D81" s="7">
        <v>2.21</v>
      </c>
      <c r="E81" s="3"/>
      <c r="F81" s="8">
        <f t="shared" si="8"/>
        <v>2.6265371719663058E-6</v>
      </c>
      <c r="G81" s="3"/>
      <c r="H81" s="7">
        <v>820</v>
      </c>
      <c r="I81" s="3"/>
      <c r="J81" s="8">
        <f t="shared" si="9"/>
        <v>1.5338570894126451E-3</v>
      </c>
      <c r="K81" s="3"/>
      <c r="L81" s="7">
        <f t="shared" si="10"/>
        <v>-817.79</v>
      </c>
      <c r="M81" s="3"/>
      <c r="N81" s="8">
        <f t="shared" si="11"/>
        <v>-0.99730487804878043</v>
      </c>
      <c r="O81" s="12"/>
      <c r="P81" s="7">
        <v>4011.07</v>
      </c>
      <c r="Q81" s="3"/>
      <c r="R81" s="8">
        <f t="shared" si="12"/>
        <v>7.4736020622563333E-4</v>
      </c>
      <c r="S81" s="3"/>
      <c r="T81" s="7">
        <v>8200</v>
      </c>
      <c r="U81" s="3"/>
      <c r="V81" s="8">
        <f t="shared" si="13"/>
        <v>2.0202020202020202E-3</v>
      </c>
      <c r="W81" s="3"/>
      <c r="X81" s="7">
        <f t="shared" si="14"/>
        <v>-4188.93</v>
      </c>
      <c r="Y81" s="3"/>
      <c r="Z81" s="8">
        <f t="shared" si="15"/>
        <v>-0.51084512195121956</v>
      </c>
    </row>
    <row r="82" spans="1:26" s="70" customFormat="1" ht="15" hidden="1" customHeight="1" outlineLevel="2" x14ac:dyDescent="0.3">
      <c r="A82" s="26"/>
      <c r="B82" s="12" t="str">
        <f>CONCATENATE("          ","6243"," - ","PAPER SUPPLIES")</f>
        <v xml:space="preserve">          6243 - PAPER SUPPLIES</v>
      </c>
      <c r="C82" s="12"/>
      <c r="D82" s="7">
        <v>5325.89</v>
      </c>
      <c r="E82" s="3"/>
      <c r="F82" s="8">
        <f t="shared" si="8"/>
        <v>6.3297050039835424E-3</v>
      </c>
      <c r="G82" s="3"/>
      <c r="H82" s="7">
        <v>6300</v>
      </c>
      <c r="I82" s="3"/>
      <c r="J82" s="8">
        <f t="shared" si="9"/>
        <v>1.1784511784511785E-2</v>
      </c>
      <c r="K82" s="3"/>
      <c r="L82" s="7">
        <f t="shared" si="10"/>
        <v>-974.10999999999967</v>
      </c>
      <c r="M82" s="3"/>
      <c r="N82" s="8">
        <f t="shared" si="11"/>
        <v>-0.15462063492063488</v>
      </c>
      <c r="O82" s="12"/>
      <c r="P82" s="7">
        <v>93692.47</v>
      </c>
      <c r="Q82" s="3"/>
      <c r="R82" s="8">
        <f t="shared" si="12"/>
        <v>1.745719314322337E-2</v>
      </c>
      <c r="S82" s="3"/>
      <c r="T82" s="7">
        <v>63000</v>
      </c>
      <c r="U82" s="3"/>
      <c r="V82" s="8">
        <f t="shared" si="13"/>
        <v>1.5521064301552107E-2</v>
      </c>
      <c r="W82" s="3"/>
      <c r="X82" s="7">
        <f t="shared" si="14"/>
        <v>30692.47</v>
      </c>
      <c r="Y82" s="3"/>
      <c r="Z82" s="8">
        <f t="shared" si="15"/>
        <v>0.4871820634920635</v>
      </c>
    </row>
    <row r="83" spans="1:26" s="70" customFormat="1" ht="15" hidden="1" customHeight="1" outlineLevel="2" x14ac:dyDescent="0.3">
      <c r="A83" s="26"/>
      <c r="B83" s="12" t="str">
        <f>CONCATENATE("          ","6244"," - ","SAFETY SUPPLY EXPENSE")</f>
        <v xml:space="preserve">          6244 - SAFETY SUPPLY EXPENSE</v>
      </c>
      <c r="C83" s="12"/>
      <c r="D83" s="7"/>
      <c r="E83" s="3"/>
      <c r="F83" s="8">
        <f t="shared" si="8"/>
        <v>0</v>
      </c>
      <c r="G83" s="3"/>
      <c r="H83" s="7">
        <v>200</v>
      </c>
      <c r="I83" s="3"/>
      <c r="J83" s="8">
        <f t="shared" si="9"/>
        <v>3.7411148522259631E-4</v>
      </c>
      <c r="K83" s="3"/>
      <c r="L83" s="7">
        <f t="shared" si="10"/>
        <v>-200</v>
      </c>
      <c r="M83" s="3"/>
      <c r="N83" s="8">
        <f t="shared" si="11"/>
        <v>-1</v>
      </c>
      <c r="O83" s="12"/>
      <c r="P83" s="7"/>
      <c r="Q83" s="3"/>
      <c r="R83" s="8">
        <f t="shared" si="12"/>
        <v>0</v>
      </c>
      <c r="S83" s="3"/>
      <c r="T83" s="7">
        <v>2000</v>
      </c>
      <c r="U83" s="3"/>
      <c r="V83" s="8">
        <f t="shared" si="13"/>
        <v>4.9273220004927322E-4</v>
      </c>
      <c r="W83" s="3"/>
      <c r="X83" s="7">
        <f t="shared" si="14"/>
        <v>-2000</v>
      </c>
      <c r="Y83" s="3"/>
      <c r="Z83" s="8">
        <f t="shared" si="15"/>
        <v>-1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7"/>
      <c r="E84" s="3"/>
      <c r="F84" s="8">
        <f t="shared" si="8"/>
        <v>0</v>
      </c>
      <c r="G84" s="3"/>
      <c r="H84" s="7"/>
      <c r="I84" s="3"/>
      <c r="J84" s="8">
        <f t="shared" si="9"/>
        <v>0</v>
      </c>
      <c r="K84" s="3"/>
      <c r="L84" s="7">
        <f t="shared" si="10"/>
        <v>0</v>
      </c>
      <c r="M84" s="3"/>
      <c r="N84" s="8">
        <f t="shared" si="11"/>
        <v>0</v>
      </c>
      <c r="O84" s="12"/>
      <c r="P84" s="7">
        <v>459.51</v>
      </c>
      <c r="Q84" s="3"/>
      <c r="R84" s="8">
        <f t="shared" si="12"/>
        <v>8.5617924484673863E-5</v>
      </c>
      <c r="S84" s="3"/>
      <c r="T84" s="7"/>
      <c r="U84" s="3"/>
      <c r="V84" s="8">
        <f t="shared" si="13"/>
        <v>0</v>
      </c>
      <c r="W84" s="3"/>
      <c r="X84" s="7">
        <f t="shared" si="14"/>
        <v>459.51</v>
      </c>
      <c r="Y84" s="3"/>
      <c r="Z84" s="8">
        <f t="shared" si="15"/>
        <v>0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7"/>
      <c r="E85" s="3"/>
      <c r="F85" s="8">
        <f t="shared" si="8"/>
        <v>0</v>
      </c>
      <c r="G85" s="3"/>
      <c r="H85" s="7">
        <v>196</v>
      </c>
      <c r="I85" s="3"/>
      <c r="J85" s="8">
        <f t="shared" si="9"/>
        <v>3.6662925551814439E-4</v>
      </c>
      <c r="K85" s="3"/>
      <c r="L85" s="7">
        <f t="shared" si="10"/>
        <v>-196</v>
      </c>
      <c r="M85" s="3"/>
      <c r="N85" s="8">
        <f t="shared" si="11"/>
        <v>-1</v>
      </c>
      <c r="O85" s="12"/>
      <c r="P85" s="7">
        <v>2802.57</v>
      </c>
      <c r="Q85" s="3"/>
      <c r="R85" s="8">
        <f t="shared" si="12"/>
        <v>5.2218717029664736E-4</v>
      </c>
      <c r="S85" s="3"/>
      <c r="T85" s="7">
        <v>1960</v>
      </c>
      <c r="U85" s="3"/>
      <c r="V85" s="8">
        <f t="shared" si="13"/>
        <v>4.8287755604828776E-4</v>
      </c>
      <c r="W85" s="3"/>
      <c r="X85" s="7">
        <f t="shared" si="14"/>
        <v>842.57000000000016</v>
      </c>
      <c r="Y85" s="3"/>
      <c r="Z85" s="8">
        <f t="shared" si="15"/>
        <v>0.42988265306122458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459</v>
      </c>
      <c r="E86" s="2"/>
      <c r="F86" s="6">
        <f t="shared" si="8"/>
        <v>5.4551156648530966E-4</v>
      </c>
      <c r="G86" s="2"/>
      <c r="H86" s="2">
        <f>SUM(OSRRefH22_15x_0)</f>
        <v>218</v>
      </c>
      <c r="I86" s="2"/>
      <c r="J86" s="6">
        <f t="shared" si="9"/>
        <v>4.0778151889263E-4</v>
      </c>
      <c r="K86" s="2"/>
      <c r="L86" s="2">
        <f t="shared" si="10"/>
        <v>241</v>
      </c>
      <c r="M86" s="2"/>
      <c r="N86" s="6">
        <f t="shared" si="11"/>
        <v>1.1055045871559632</v>
      </c>
      <c r="O86" s="14"/>
      <c r="P86" s="2">
        <f>SUM(OSRRefP22_15x_0)</f>
        <v>3148</v>
      </c>
      <c r="Q86" s="2"/>
      <c r="R86" s="6">
        <f t="shared" si="12"/>
        <v>5.8654920736818199E-4</v>
      </c>
      <c r="S86" s="2"/>
      <c r="T86" s="2">
        <f>SUM(OSRRefT22_15x_0)</f>
        <v>2180</v>
      </c>
      <c r="U86" s="2"/>
      <c r="V86" s="6">
        <f t="shared" si="13"/>
        <v>5.3707809805370781E-4</v>
      </c>
      <c r="W86" s="2"/>
      <c r="X86" s="2">
        <f t="shared" si="14"/>
        <v>968</v>
      </c>
      <c r="Y86" s="2"/>
      <c r="Z86" s="6">
        <f t="shared" si="15"/>
        <v>0.44403669724770645</v>
      </c>
    </row>
    <row r="87" spans="1:26" s="70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7">
        <v>459</v>
      </c>
      <c r="E87" s="3"/>
      <c r="F87" s="8">
        <f t="shared" si="8"/>
        <v>5.4551156648530966E-4</v>
      </c>
      <c r="G87" s="3"/>
      <c r="H87" s="7">
        <v>218</v>
      </c>
      <c r="I87" s="3"/>
      <c r="J87" s="8">
        <f t="shared" si="9"/>
        <v>4.0778151889263E-4</v>
      </c>
      <c r="K87" s="3"/>
      <c r="L87" s="7">
        <f t="shared" si="10"/>
        <v>241</v>
      </c>
      <c r="M87" s="3"/>
      <c r="N87" s="8">
        <f t="shared" si="11"/>
        <v>1.1055045871559632</v>
      </c>
      <c r="O87" s="12"/>
      <c r="P87" s="7">
        <v>3148</v>
      </c>
      <c r="Q87" s="3"/>
      <c r="R87" s="8">
        <f t="shared" si="12"/>
        <v>5.8654920736818199E-4</v>
      </c>
      <c r="S87" s="3"/>
      <c r="T87" s="7">
        <v>2180</v>
      </c>
      <c r="U87" s="3"/>
      <c r="V87" s="8">
        <f t="shared" si="13"/>
        <v>5.3707809805370781E-4</v>
      </c>
      <c r="W87" s="3"/>
      <c r="X87" s="7">
        <f t="shared" si="14"/>
        <v>968</v>
      </c>
      <c r="Y87" s="3"/>
      <c r="Z87" s="8">
        <f t="shared" si="15"/>
        <v>0.44403669724770645</v>
      </c>
    </row>
    <row r="88" spans="1:26" s="69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312</v>
      </c>
      <c r="E88" s="2"/>
      <c r="F88" s="6">
        <f t="shared" si="8"/>
        <v>3.7080524780700786E-4</v>
      </c>
      <c r="G88" s="2"/>
      <c r="H88" s="2">
        <f>SUM(OSRRefH22_16x_0)</f>
        <v>150</v>
      </c>
      <c r="I88" s="2"/>
      <c r="J88" s="6">
        <f t="shared" si="9"/>
        <v>2.8058361391694727E-4</v>
      </c>
      <c r="K88" s="2"/>
      <c r="L88" s="2">
        <f t="shared" si="10"/>
        <v>162</v>
      </c>
      <c r="M88" s="2"/>
      <c r="N88" s="6">
        <f t="shared" si="11"/>
        <v>1.08</v>
      </c>
      <c r="O88" s="14"/>
      <c r="P88" s="2">
        <f>SUM(OSRRefP22_16x_0)</f>
        <v>557</v>
      </c>
      <c r="Q88" s="2"/>
      <c r="R88" s="6">
        <f t="shared" si="12"/>
        <v>1.0378269012200679E-4</v>
      </c>
      <c r="S88" s="2"/>
      <c r="T88" s="2">
        <f>SUM(OSRRefT22_16x_0)</f>
        <v>1700</v>
      </c>
      <c r="U88" s="2"/>
      <c r="V88" s="6">
        <f t="shared" si="13"/>
        <v>4.1882237004188224E-4</v>
      </c>
      <c r="W88" s="2"/>
      <c r="X88" s="2">
        <f t="shared" si="14"/>
        <v>-1143</v>
      </c>
      <c r="Y88" s="2"/>
      <c r="Z88" s="6">
        <f t="shared" si="15"/>
        <v>-0.6723529411764706</v>
      </c>
    </row>
    <row r="89" spans="1:26" s="70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7">
        <v>312</v>
      </c>
      <c r="E89" s="3"/>
      <c r="F89" s="8">
        <f t="shared" si="8"/>
        <v>3.7080524780700786E-4</v>
      </c>
      <c r="G89" s="3"/>
      <c r="H89" s="7">
        <v>150</v>
      </c>
      <c r="I89" s="3"/>
      <c r="J89" s="8">
        <f t="shared" si="9"/>
        <v>2.8058361391694727E-4</v>
      </c>
      <c r="K89" s="3"/>
      <c r="L89" s="7">
        <f t="shared" si="10"/>
        <v>162</v>
      </c>
      <c r="M89" s="3"/>
      <c r="N89" s="8">
        <f t="shared" si="11"/>
        <v>1.08</v>
      </c>
      <c r="O89" s="12"/>
      <c r="P89" s="7">
        <v>557</v>
      </c>
      <c r="Q89" s="3"/>
      <c r="R89" s="8">
        <f t="shared" si="12"/>
        <v>1.0378269012200679E-4</v>
      </c>
      <c r="S89" s="3"/>
      <c r="T89" s="7">
        <v>1700</v>
      </c>
      <c r="U89" s="3"/>
      <c r="V89" s="8">
        <f t="shared" si="13"/>
        <v>4.1882237004188224E-4</v>
      </c>
      <c r="W89" s="3"/>
      <c r="X89" s="7">
        <f t="shared" si="14"/>
        <v>-1143</v>
      </c>
      <c r="Y89" s="3"/>
      <c r="Z89" s="8">
        <f t="shared" si="15"/>
        <v>-0.6723529411764706</v>
      </c>
    </row>
    <row r="90" spans="1:26" s="65" customFormat="1" ht="15" customHeight="1" x14ac:dyDescent="0.3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x14ac:dyDescent="0.3">
      <c r="A91" s="11"/>
      <c r="B91" s="28" t="s">
        <v>291</v>
      </c>
      <c r="C91" s="11"/>
      <c r="D91" s="5">
        <f>SUM(0)</f>
        <v>0</v>
      </c>
      <c r="E91" s="5"/>
      <c r="F91" s="13">
        <f>IF(D$12=0,0,D91/D$12)</f>
        <v>0</v>
      </c>
      <c r="G91" s="5"/>
      <c r="H91" s="5">
        <f>SUM(0)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SUM(0)</f>
        <v>0</v>
      </c>
      <c r="Q91" s="5"/>
      <c r="R91" s="13">
        <f>IF(P$12=0,0,P91/P$12)</f>
        <v>0</v>
      </c>
      <c r="S91" s="5"/>
      <c r="T91" s="5">
        <f>SUM(0)</f>
        <v>0</v>
      </c>
      <c r="U91" s="5"/>
      <c r="V91" s="13">
        <f>IF(T$12=0,0,T91/T$12)</f>
        <v>0</v>
      </c>
      <c r="W91" s="5"/>
      <c r="X91" s="5">
        <f>+P91-T91</f>
        <v>0</v>
      </c>
      <c r="Y91" s="5"/>
      <c r="Z91" s="13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292</v>
      </c>
      <c r="C93" s="27"/>
      <c r="D93" s="21">
        <f>+D23-D25+D91</f>
        <v>439717.89999999991</v>
      </c>
      <c r="E93" s="15"/>
      <c r="F93" s="23">
        <f>IF(D$12=0,0,D93/D$12)</f>
        <v>0.52259520793165726</v>
      </c>
      <c r="G93" s="15"/>
      <c r="H93" s="21">
        <f>+H23-H25+H91</f>
        <v>126917.53338597505</v>
      </c>
      <c r="I93" s="15"/>
      <c r="J93" s="23">
        <f>IF(H$12=0,0,H93/H$12)</f>
        <v>0.23740653457907793</v>
      </c>
      <c r="K93" s="17"/>
      <c r="L93" s="21">
        <f>+D93-H93</f>
        <v>312800.36661402485</v>
      </c>
      <c r="M93" s="17"/>
      <c r="N93" s="23">
        <f>IF(H93=0,0,L93/H93)</f>
        <v>2.4645953814966806</v>
      </c>
      <c r="O93" s="28"/>
      <c r="P93" s="21">
        <f>+P23-P25+P91</f>
        <v>2200687.4499999993</v>
      </c>
      <c r="Q93" s="15"/>
      <c r="R93" s="23">
        <f>IF(P$12=0,0,P93/P$12)</f>
        <v>0.41004176603005249</v>
      </c>
      <c r="S93" s="15"/>
      <c r="T93" s="21">
        <f>+T23-T25+T91</f>
        <v>782123.89539658092</v>
      </c>
      <c r="U93" s="15"/>
      <c r="V93" s="23">
        <f>IF(T$12=0,0,T93/T$12)</f>
        <v>0.19268881384493247</v>
      </c>
      <c r="W93" s="17"/>
      <c r="X93" s="21">
        <f>+P93-T93</f>
        <v>1418563.5546034183</v>
      </c>
      <c r="Y93" s="17"/>
      <c r="Z93" s="23">
        <f>IF(T93=0,0,X93/T93)</f>
        <v>1.8137325338770358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67876.86</v>
      </c>
      <c r="E95" s="5"/>
      <c r="F95" s="13">
        <f>IF(D$12=0,0,D95/D$12)</f>
        <v>8.0670179143146101E-2</v>
      </c>
      <c r="G95" s="5"/>
      <c r="H95" s="5">
        <v>70109</v>
      </c>
      <c r="I95" s="5"/>
      <c r="J95" s="13">
        <f>IF(H$12=0,0,H95/H$12)</f>
        <v>0.13114291058735503</v>
      </c>
      <c r="K95" s="5"/>
      <c r="L95" s="5">
        <f>+D95-H95</f>
        <v>-2232.1399999999994</v>
      </c>
      <c r="M95" s="5"/>
      <c r="N95" s="13">
        <f>IF(H95=0,0,L95/H95)</f>
        <v>-3.1838137756921354E-2</v>
      </c>
      <c r="O95" s="11"/>
      <c r="P95" s="5">
        <v>607992.73</v>
      </c>
      <c r="Q95" s="5"/>
      <c r="R95" s="13">
        <f>IF(P$12=0,0,P95/P$12)</f>
        <v>0.11328387988154925</v>
      </c>
      <c r="S95" s="5"/>
      <c r="T95" s="5">
        <v>499316</v>
      </c>
      <c r="U95" s="5"/>
      <c r="V95" s="13">
        <f>IF(T$12=0,0,T95/T$12)</f>
        <v>0.12301453559990146</v>
      </c>
      <c r="W95" s="5"/>
      <c r="X95" s="5">
        <f>+P95-T95</f>
        <v>108676.72999999998</v>
      </c>
      <c r="Y95" s="5"/>
      <c r="Z95" s="13">
        <f>IF(T95=0,0,X95/T95)</f>
        <v>0.21765120685097208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294</v>
      </c>
      <c r="C97" s="27"/>
      <c r="D97" s="29">
        <f>+D93-D95</f>
        <v>371841.03999999992</v>
      </c>
      <c r="E97" s="15"/>
      <c r="F97" s="30">
        <f>IF(D$12=0,0,D97/D$12)</f>
        <v>0.4419250287885112</v>
      </c>
      <c r="G97" s="15"/>
      <c r="H97" s="29">
        <f>+H93-H95</f>
        <v>56808.533385975054</v>
      </c>
      <c r="I97" s="15"/>
      <c r="J97" s="30">
        <f>IF(H$12=0,0,H97/H$12)</f>
        <v>0.10626362399172289</v>
      </c>
      <c r="K97" s="17"/>
      <c r="L97" s="29">
        <f>D97-H97</f>
        <v>315032.50661402487</v>
      </c>
      <c r="M97" s="17"/>
      <c r="N97" s="30">
        <f>IF(H97=0,0,L97/H97)</f>
        <v>5.5455138134546598</v>
      </c>
      <c r="O97" s="28"/>
      <c r="P97" s="29">
        <f>+P93-P95</f>
        <v>1592694.7199999993</v>
      </c>
      <c r="Q97" s="15"/>
      <c r="R97" s="30">
        <f>IF(P$12=0,0,P97/P$12)</f>
        <v>0.29675788614850324</v>
      </c>
      <c r="S97" s="15"/>
      <c r="T97" s="29">
        <f>+T93-T95</f>
        <v>282807.89539658092</v>
      </c>
      <c r="U97" s="15"/>
      <c r="V97" s="30">
        <f>IF(T$12=0,0,T97/T$12)</f>
        <v>6.9674278245031016E-2</v>
      </c>
      <c r="W97" s="17"/>
      <c r="X97" s="29">
        <f>P97-T97</f>
        <v>1309886.8246034184</v>
      </c>
      <c r="Y97" s="17"/>
      <c r="Z97" s="30">
        <f>IF(T97=0,0,X97/T97)</f>
        <v>4.6317194319011739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297</v>
      </c>
      <c r="C100" s="27"/>
      <c r="D100" s="32">
        <f>SUM(D97:D99)</f>
        <v>371841.03999999992</v>
      </c>
      <c r="E100" s="15"/>
      <c r="F100" s="34">
        <f>IF(D$12=0,0,D100/D$12)</f>
        <v>0.4419250287885112</v>
      </c>
      <c r="G100" s="15"/>
      <c r="H100" s="32">
        <f>SUM(H97:H99)</f>
        <v>56808.533385975054</v>
      </c>
      <c r="I100" s="15"/>
      <c r="J100" s="34">
        <f>IF(H$12=0,0,H100/H$12)</f>
        <v>0.10626362399172289</v>
      </c>
      <c r="K100" s="17"/>
      <c r="L100" s="32">
        <f>+D100-H100</f>
        <v>315032.50661402487</v>
      </c>
      <c r="M100" s="17"/>
      <c r="N100" s="34">
        <f>IF(H100=0,0,L100/H100)</f>
        <v>5.5455138134546598</v>
      </c>
      <c r="O100" s="28"/>
      <c r="P100" s="32">
        <f>SUM(P97:P99)</f>
        <v>1592694.7199999993</v>
      </c>
      <c r="Q100" s="15"/>
      <c r="R100" s="34">
        <f>IF(P$12=0,0,P100/P$12)</f>
        <v>0.29675788614850324</v>
      </c>
      <c r="S100" s="15"/>
      <c r="T100" s="32">
        <f>SUM(T97:T99)</f>
        <v>282807.89539658092</v>
      </c>
      <c r="U100" s="15"/>
      <c r="V100" s="34">
        <f>IF(T$12=0,0,T100/T$12)</f>
        <v>6.9674278245031016E-2</v>
      </c>
      <c r="W100" s="17"/>
      <c r="X100" s="32">
        <f>+P100-T100</f>
        <v>1309886.8246034184</v>
      </c>
      <c r="Y100" s="17"/>
      <c r="Z100" s="34">
        <f>IF(T100=0,0,X100/T100)</f>
        <v>4.6317194319011739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6">
        <v>44694.888552430559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0" t="s">
        <v>298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1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5FF9-A0BF-FB54-C31C-C388FE7BB9C1}">
  <sheetPr>
    <tabColor rgb="FF92D050"/>
    <outlinePr summaryBelow="0" summaryRight="0"/>
  </sheetPr>
  <dimension ref="A2:Z10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","450"," - ","Beachside Dining Hall")</f>
        <v>Department 450 - Beachside Dining Hall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320679.87000000005</v>
      </c>
      <c r="E12" s="5"/>
      <c r="F12" s="13"/>
      <c r="G12" s="5"/>
      <c r="H12" s="5">
        <f>SUM(OSRRefH13x_0)</f>
        <v>116640</v>
      </c>
      <c r="I12" s="5"/>
      <c r="J12" s="13"/>
      <c r="K12" s="5"/>
      <c r="L12" s="5">
        <f>+D12-H12</f>
        <v>204039.87000000005</v>
      </c>
      <c r="M12" s="5"/>
      <c r="N12" s="13">
        <f>IF(H12=0,0,L12/H12)</f>
        <v>1.7493130144032927</v>
      </c>
      <c r="O12" s="11"/>
      <c r="P12" s="5">
        <f>SUM(OSRRefP13x_0)</f>
        <v>1849485.28</v>
      </c>
      <c r="Q12" s="5"/>
      <c r="R12" s="13"/>
      <c r="S12" s="5"/>
      <c r="T12" s="5">
        <f>SUM(OSRRefT13x_0)</f>
        <v>885600</v>
      </c>
      <c r="U12" s="5"/>
      <c r="V12" s="13"/>
      <c r="W12" s="5"/>
      <c r="X12" s="5">
        <f>+P12-T12</f>
        <v>963885.28</v>
      </c>
      <c r="Y12" s="5"/>
      <c r="Z12" s="13">
        <f>IF(T12=0,0,X12/T12)</f>
        <v>1.0883980126467931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--71.71</f>
        <v>71.709999999999994</v>
      </c>
      <c r="E13" s="3"/>
      <c r="F13" s="20"/>
      <c r="G13" s="3"/>
      <c r="H13" s="3"/>
      <c r="I13" s="3"/>
      <c r="J13" s="20"/>
      <c r="K13" s="3"/>
      <c r="L13" s="3">
        <f>+D13-H13</f>
        <v>71.709999999999994</v>
      </c>
      <c r="M13" s="3"/>
      <c r="N13" s="20">
        <f>IF(H13=0,0,L13/H13)</f>
        <v>0</v>
      </c>
      <c r="O13" s="12"/>
      <c r="P13" s="3">
        <f>--354.32</f>
        <v>354.32</v>
      </c>
      <c r="Q13" s="3"/>
      <c r="R13" s="20"/>
      <c r="S13" s="3"/>
      <c r="T13" s="3"/>
      <c r="U13" s="3"/>
      <c r="V13" s="20"/>
      <c r="W13" s="3"/>
      <c r="X13" s="3">
        <f>+P13-T13</f>
        <v>354.32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116640</v>
      </c>
      <c r="I14" s="3"/>
      <c r="J14" s="20"/>
      <c r="K14" s="3"/>
      <c r="L14" s="3">
        <f>+D14-H14</f>
        <v>-116640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885600</v>
      </c>
      <c r="U14" s="3"/>
      <c r="V14" s="20"/>
      <c r="W14" s="3"/>
      <c r="X14" s="3">
        <f>+P14-T14</f>
        <v>-885600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--319316.57</f>
        <v>319316.57</v>
      </c>
      <c r="E15" s="3"/>
      <c r="F15" s="20"/>
      <c r="G15" s="3"/>
      <c r="H15" s="3"/>
      <c r="I15" s="3"/>
      <c r="J15" s="20"/>
      <c r="K15" s="3"/>
      <c r="L15" s="3">
        <f>+D15-H15</f>
        <v>319316.57</v>
      </c>
      <c r="M15" s="3"/>
      <c r="N15" s="20">
        <f>IF(H15=0,0,L15/H15)</f>
        <v>0</v>
      </c>
      <c r="O15" s="12"/>
      <c r="P15" s="3">
        <f>--1840493.65</f>
        <v>1840493.65</v>
      </c>
      <c r="Q15" s="3"/>
      <c r="R15" s="20"/>
      <c r="S15" s="3"/>
      <c r="T15" s="3"/>
      <c r="U15" s="3"/>
      <c r="V15" s="20"/>
      <c r="W15" s="3"/>
      <c r="X15" s="3">
        <f>+P15-T15</f>
        <v>1840493.65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--1291.59</f>
        <v>1291.5899999999999</v>
      </c>
      <c r="E16" s="3"/>
      <c r="F16" s="20"/>
      <c r="G16" s="3"/>
      <c r="H16" s="3"/>
      <c r="I16" s="3"/>
      <c r="J16" s="20"/>
      <c r="K16" s="3"/>
      <c r="L16" s="3">
        <f>+D16-H16</f>
        <v>1291.5899999999999</v>
      </c>
      <c r="M16" s="3"/>
      <c r="N16" s="20">
        <f>IF(H16=0,0,L16/H16)</f>
        <v>0</v>
      </c>
      <c r="O16" s="12"/>
      <c r="P16" s="3">
        <f>--8637.31</f>
        <v>8637.31</v>
      </c>
      <c r="Q16" s="3"/>
      <c r="R16" s="20"/>
      <c r="S16" s="3"/>
      <c r="T16" s="3"/>
      <c r="U16" s="3"/>
      <c r="V16" s="20"/>
      <c r="W16" s="3"/>
      <c r="X16" s="3">
        <f>+P16-T16</f>
        <v>8637.31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59987.05</v>
      </c>
      <c r="E18" s="5"/>
      <c r="F18" s="13">
        <f>IF(D$12=0,0,D18/D$12)</f>
        <v>0.18706210028088135</v>
      </c>
      <c r="G18" s="5"/>
      <c r="H18" s="5">
        <f>SUM(OSRRefH16x_0)</f>
        <v>27994</v>
      </c>
      <c r="I18" s="5"/>
      <c r="J18" s="13">
        <f>IF(H$12=0,0,H18/H$12)</f>
        <v>0.24000342935528121</v>
      </c>
      <c r="K18" s="5"/>
      <c r="L18" s="5">
        <f>+D18-H18</f>
        <v>31993.050000000003</v>
      </c>
      <c r="M18" s="5"/>
      <c r="N18" s="13">
        <f>IF(H18=0,0,L18/H18)</f>
        <v>1.1428538258198186</v>
      </c>
      <c r="O18" s="11"/>
      <c r="P18" s="5">
        <f>SUM(OSRRefP16x_0)</f>
        <v>432544.65</v>
      </c>
      <c r="Q18" s="5"/>
      <c r="R18" s="13">
        <f>IF(P$12=0,0,P18/P$12)</f>
        <v>0.23387298870526832</v>
      </c>
      <c r="S18" s="5"/>
      <c r="T18" s="5">
        <f>SUM(OSRRefT16x_0)</f>
        <v>229801</v>
      </c>
      <c r="U18" s="5"/>
      <c r="V18" s="13">
        <f>IF(T$12=0,0,T18/T$12)</f>
        <v>0.25948622402890698</v>
      </c>
      <c r="W18" s="5"/>
      <c r="X18" s="5">
        <f>+P18-T18</f>
        <v>202743.65000000002</v>
      </c>
      <c r="Y18" s="5"/>
      <c r="Z18" s="13">
        <f>IF(T18=0,0,X18/T18)</f>
        <v>0.88225747494571405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27994</v>
      </c>
      <c r="I19" s="3"/>
      <c r="J19" s="20">
        <f>IF(H$12=0,0,H19/H$12)</f>
        <v>0.24000342935528121</v>
      </c>
      <c r="K19" s="3"/>
      <c r="L19" s="3">
        <f>+D19-H19</f>
        <v>-27994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229801</v>
      </c>
      <c r="U19" s="3"/>
      <c r="V19" s="20">
        <f>IF(T$12=0,0,T19/T$12)</f>
        <v>0.25948622402890698</v>
      </c>
      <c r="W19" s="3"/>
      <c r="X19" s="3">
        <f>+P19-T19</f>
        <v>-229801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61532.05</v>
      </c>
      <c r="E20" s="3"/>
      <c r="F20" s="20">
        <f>IF(D$12=0,0,D20/D$12)</f>
        <v>0.19187998922414429</v>
      </c>
      <c r="G20" s="3"/>
      <c r="H20" s="3"/>
      <c r="I20" s="3"/>
      <c r="J20" s="20">
        <f>IF(H$12=0,0,H20/H$12)</f>
        <v>0</v>
      </c>
      <c r="K20" s="3"/>
      <c r="L20" s="3">
        <f>+D20-H20</f>
        <v>61532.05</v>
      </c>
      <c r="M20" s="3"/>
      <c r="N20" s="20">
        <f>IF(H20=0,0,L20/H20)</f>
        <v>0</v>
      </c>
      <c r="O20" s="12"/>
      <c r="P20" s="3">
        <v>446810.71</v>
      </c>
      <c r="Q20" s="3"/>
      <c r="R20" s="20">
        <f>IF(P$12=0,0,P20/P$12)</f>
        <v>0.24158651860154304</v>
      </c>
      <c r="S20" s="3"/>
      <c r="T20" s="3"/>
      <c r="U20" s="3"/>
      <c r="V20" s="20">
        <f>IF(T$12=0,0,T20/T$12)</f>
        <v>0</v>
      </c>
      <c r="W20" s="3"/>
      <c r="X20" s="3">
        <f>+P20-T20</f>
        <v>446810.71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-1545</v>
      </c>
      <c r="E21" s="3"/>
      <c r="F21" s="20">
        <f>IF(D$12=0,0,D21/D$12)</f>
        <v>-4.8178889432629489E-3</v>
      </c>
      <c r="G21" s="3"/>
      <c r="H21" s="3"/>
      <c r="I21" s="3"/>
      <c r="J21" s="20">
        <f>IF(H$12=0,0,H21/H$12)</f>
        <v>0</v>
      </c>
      <c r="K21" s="3"/>
      <c r="L21" s="3">
        <f>+D21-H21</f>
        <v>-1545</v>
      </c>
      <c r="M21" s="3"/>
      <c r="N21" s="20">
        <f>IF(H21=0,0,L21/H21)</f>
        <v>0</v>
      </c>
      <c r="O21" s="12"/>
      <c r="P21" s="3">
        <v>-14266.06</v>
      </c>
      <c r="Q21" s="3"/>
      <c r="R21" s="20">
        <f>IF(P$12=0,0,P21/P$12)</f>
        <v>-7.7135298962747083E-3</v>
      </c>
      <c r="S21" s="3"/>
      <c r="T21" s="3"/>
      <c r="U21" s="3"/>
      <c r="V21" s="20">
        <f>IF(T$12=0,0,T21/T$12)</f>
        <v>0</v>
      </c>
      <c r="W21" s="3"/>
      <c r="X21" s="3">
        <f>+P21-T21</f>
        <v>-14266.06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260692.82000000007</v>
      </c>
      <c r="E23" s="15"/>
      <c r="F23" s="23">
        <f>IF(D$12=0,0,D23/D$12)</f>
        <v>0.81293789971911867</v>
      </c>
      <c r="G23" s="15"/>
      <c r="H23" s="21">
        <f>H12-H18</f>
        <v>88646</v>
      </c>
      <c r="I23" s="15"/>
      <c r="J23" s="23">
        <f>IF(H$12=0,0,H23/H$12)</f>
        <v>0.75999657064471882</v>
      </c>
      <c r="K23" s="17"/>
      <c r="L23" s="21">
        <f>+D23-H23</f>
        <v>172046.82000000007</v>
      </c>
      <c r="M23" s="17"/>
      <c r="N23" s="23">
        <f>IF(H23=0,0,L23/H23)</f>
        <v>1.9408300430927516</v>
      </c>
      <c r="O23" s="28"/>
      <c r="P23" s="21">
        <f>P12-P18</f>
        <v>1416940.63</v>
      </c>
      <c r="Q23" s="15"/>
      <c r="R23" s="23">
        <f>IF(P$12=0,0,P23/P$12)</f>
        <v>0.7661270112947316</v>
      </c>
      <c r="S23" s="15"/>
      <c r="T23" s="21">
        <f>T12-T18</f>
        <v>655799</v>
      </c>
      <c r="U23" s="15"/>
      <c r="V23" s="23">
        <f>IF(T$12=0,0,T23/T$12)</f>
        <v>0.74051377597109302</v>
      </c>
      <c r="W23" s="17"/>
      <c r="X23" s="21">
        <f>+P23-T23</f>
        <v>761141.62999999989</v>
      </c>
      <c r="Y23" s="17"/>
      <c r="Z23" s="23">
        <f>IF(T23=0,0,X23/T23)</f>
        <v>1.160632495627471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156636.04</v>
      </c>
      <c r="E25" s="22"/>
      <c r="F25" s="33">
        <f t="shared" ref="F25:F56" si="0">IF(D$12=0,0,D25/D$12)</f>
        <v>0.48844986746439678</v>
      </c>
      <c r="G25" s="22"/>
      <c r="H25" s="22" cm="1">
        <f t="array" ref="H25">SUM(OSRRefH22x_0)</f>
        <v>143590.23474615387</v>
      </c>
      <c r="I25" s="22"/>
      <c r="J25" s="33">
        <f t="shared" ref="J25:J56" si="1">IF(H$12=0,0,H25/H$12)</f>
        <v>1.2310548246412369</v>
      </c>
      <c r="K25" s="5"/>
      <c r="L25" s="22">
        <f t="shared" ref="L25:L56" si="2">+D25-H25</f>
        <v>13045.805253846134</v>
      </c>
      <c r="M25" s="5"/>
      <c r="N25" s="33">
        <f t="shared" ref="N25:N56" si="3">IF(H25=0,0,L25/H25)</f>
        <v>9.0854404388356722E-2</v>
      </c>
      <c r="O25" s="11"/>
      <c r="P25" s="22" cm="1">
        <f t="array" ref="P25">SUM(OSRRefP22x_0)</f>
        <v>1174129.7700000003</v>
      </c>
      <c r="Q25" s="22"/>
      <c r="R25" s="33">
        <f t="shared" ref="R25:R56" si="4">IF(P$12=0,0,P25/P$12)</f>
        <v>0.63484137056770751</v>
      </c>
      <c r="S25" s="22"/>
      <c r="T25" s="22" cm="1">
        <f t="array" ref="T25">SUM(OSRRefT22x_0)</f>
        <v>1227847.0764661538</v>
      </c>
      <c r="U25" s="22"/>
      <c r="V25" s="33">
        <f t="shared" ref="V25:V56" si="5">IF(T$12=0,0,T25/T$12)</f>
        <v>1.3864578550882496</v>
      </c>
      <c r="W25" s="5"/>
      <c r="X25" s="22">
        <f t="shared" ref="X25:X56" si="6">+P25-T25</f>
        <v>-53717.30646615359</v>
      </c>
      <c r="Y25" s="5"/>
      <c r="Z25" s="33">
        <f t="shared" ref="Z25:Z56" si="7">IF(T25=0,0,X25/T25)</f>
        <v>-4.3749183017771621E-2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30711.189999999995</v>
      </c>
      <c r="E26" s="2"/>
      <c r="F26" s="6">
        <f t="shared" si="0"/>
        <v>9.5768998534270303E-2</v>
      </c>
      <c r="G26" s="2"/>
      <c r="H26" s="2">
        <f>SUM(OSRRefH22_0x_0)</f>
        <v>36452.097515384638</v>
      </c>
      <c r="I26" s="2"/>
      <c r="J26" s="6">
        <f t="shared" si="1"/>
        <v>0.31251798281365428</v>
      </c>
      <c r="K26" s="2"/>
      <c r="L26" s="2">
        <f t="shared" si="2"/>
        <v>-5740.9075153846425</v>
      </c>
      <c r="M26" s="2"/>
      <c r="N26" s="6">
        <f t="shared" si="3"/>
        <v>-0.15749182918655608</v>
      </c>
      <c r="O26" s="14"/>
      <c r="P26" s="2">
        <f>SUM(OSRRefP22_0x_0)</f>
        <v>242808.15</v>
      </c>
      <c r="Q26" s="2"/>
      <c r="R26" s="6">
        <f t="shared" si="4"/>
        <v>0.13128417545448104</v>
      </c>
      <c r="S26" s="2"/>
      <c r="T26" s="2">
        <f>SUM(OSRRefT22_0x_0)</f>
        <v>323316.03923538455</v>
      </c>
      <c r="U26" s="2"/>
      <c r="V26" s="6">
        <f t="shared" si="5"/>
        <v>0.36508134511673956</v>
      </c>
      <c r="W26" s="2"/>
      <c r="X26" s="2">
        <f t="shared" si="6"/>
        <v>-80507.889235384559</v>
      </c>
      <c r="Y26" s="2"/>
      <c r="Z26" s="6">
        <f t="shared" si="7"/>
        <v>-0.24900679046353222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4995.6899999999996</v>
      </c>
      <c r="E27" s="3"/>
      <c r="F27" s="8">
        <f t="shared" si="0"/>
        <v>1.5578433407747106E-2</v>
      </c>
      <c r="G27" s="3"/>
      <c r="H27" s="7">
        <v>3292.49720769231</v>
      </c>
      <c r="I27" s="3"/>
      <c r="J27" s="8">
        <f t="shared" si="1"/>
        <v>2.8227856718898405E-2</v>
      </c>
      <c r="K27" s="3"/>
      <c r="L27" s="7">
        <f t="shared" si="2"/>
        <v>1703.1927923076896</v>
      </c>
      <c r="M27" s="3"/>
      <c r="N27" s="8">
        <f t="shared" si="3"/>
        <v>0.51729513644795055</v>
      </c>
      <c r="O27" s="12"/>
      <c r="P27" s="7">
        <v>33041.19</v>
      </c>
      <c r="Q27" s="3"/>
      <c r="R27" s="8">
        <f t="shared" si="4"/>
        <v>1.7865073248920373E-2</v>
      </c>
      <c r="S27" s="3"/>
      <c r="T27" s="7">
        <v>29965.038927692302</v>
      </c>
      <c r="U27" s="3"/>
      <c r="V27" s="8">
        <f t="shared" si="5"/>
        <v>3.3835861481134037E-2</v>
      </c>
      <c r="W27" s="3"/>
      <c r="X27" s="7">
        <f t="shared" si="6"/>
        <v>3076.1510723077008</v>
      </c>
      <c r="Y27" s="3"/>
      <c r="Z27" s="8">
        <f t="shared" si="7"/>
        <v>0.10265800353974726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2232.94</v>
      </c>
      <c r="E28" s="3"/>
      <c r="F28" s="8">
        <f t="shared" si="0"/>
        <v>6.963143648523993E-3</v>
      </c>
      <c r="G28" s="3"/>
      <c r="H28" s="7">
        <v>3228.1972215384599</v>
      </c>
      <c r="I28" s="3"/>
      <c r="J28" s="8">
        <f t="shared" si="1"/>
        <v>2.7676587976152776E-2</v>
      </c>
      <c r="K28" s="3"/>
      <c r="L28" s="7">
        <f t="shared" si="2"/>
        <v>-995.25722153845982</v>
      </c>
      <c r="M28" s="3"/>
      <c r="N28" s="8">
        <f t="shared" si="3"/>
        <v>-0.30830124470033177</v>
      </c>
      <c r="O28" s="12"/>
      <c r="P28" s="7">
        <v>20469.21</v>
      </c>
      <c r="Q28" s="3"/>
      <c r="R28" s="8">
        <f t="shared" si="4"/>
        <v>1.1067517120222768E-2</v>
      </c>
      <c r="S28" s="3"/>
      <c r="T28" s="7">
        <v>26710.279221538502</v>
      </c>
      <c r="U28" s="3"/>
      <c r="V28" s="8">
        <f t="shared" si="5"/>
        <v>3.0160658560906169E-2</v>
      </c>
      <c r="W28" s="3"/>
      <c r="X28" s="7">
        <f t="shared" si="6"/>
        <v>-6241.0692215385025</v>
      </c>
      <c r="Y28" s="3"/>
      <c r="Z28" s="8">
        <f t="shared" si="7"/>
        <v>-0.23365795504323519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12774.22</v>
      </c>
      <c r="E29" s="3"/>
      <c r="F29" s="8">
        <f t="shared" si="0"/>
        <v>3.9834804722853348E-2</v>
      </c>
      <c r="G29" s="3"/>
      <c r="H29" s="7">
        <v>22728.9230769231</v>
      </c>
      <c r="I29" s="3"/>
      <c r="J29" s="8">
        <f t="shared" si="1"/>
        <v>0.19486388097499227</v>
      </c>
      <c r="K29" s="3"/>
      <c r="L29" s="7">
        <f t="shared" si="2"/>
        <v>-9954.7030769231005</v>
      </c>
      <c r="M29" s="3"/>
      <c r="N29" s="8">
        <f t="shared" si="3"/>
        <v>-0.4379751316519791</v>
      </c>
      <c r="O29" s="12"/>
      <c r="P29" s="7">
        <v>122574.31</v>
      </c>
      <c r="Q29" s="3"/>
      <c r="R29" s="8">
        <f t="shared" si="4"/>
        <v>6.6274823230818028E-2</v>
      </c>
      <c r="S29" s="3"/>
      <c r="T29" s="7">
        <v>202386.92307692301</v>
      </c>
      <c r="U29" s="3"/>
      <c r="V29" s="8">
        <f t="shared" si="5"/>
        <v>0.22853085261621839</v>
      </c>
      <c r="W29" s="3"/>
      <c r="X29" s="7">
        <f t="shared" si="6"/>
        <v>-79812.613076923008</v>
      </c>
      <c r="Y29" s="3"/>
      <c r="Z29" s="8">
        <f t="shared" si="7"/>
        <v>-0.39435657138078983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161.25</v>
      </c>
      <c r="E30" s="3"/>
      <c r="F30" s="8">
        <f t="shared" si="0"/>
        <v>5.0283792369006498E-4</v>
      </c>
      <c r="G30" s="3"/>
      <c r="H30" s="7">
        <v>178.87108615384599</v>
      </c>
      <c r="I30" s="3"/>
      <c r="J30" s="8">
        <f t="shared" si="1"/>
        <v>1.5335312598923696E-3</v>
      </c>
      <c r="K30" s="3"/>
      <c r="L30" s="7">
        <f t="shared" si="2"/>
        <v>-17.621086153845994</v>
      </c>
      <c r="M30" s="3"/>
      <c r="N30" s="8">
        <f t="shared" si="3"/>
        <v>-9.8512769910113915E-2</v>
      </c>
      <c r="O30" s="12"/>
      <c r="P30" s="7">
        <v>1478.33</v>
      </c>
      <c r="Q30" s="3"/>
      <c r="R30" s="8">
        <f t="shared" si="4"/>
        <v>7.9931968963818949E-4</v>
      </c>
      <c r="S30" s="3"/>
      <c r="T30" s="7">
        <v>1479.9890861538499</v>
      </c>
      <c r="U30" s="3"/>
      <c r="V30" s="8">
        <f t="shared" si="5"/>
        <v>1.6711710548259371E-3</v>
      </c>
      <c r="W30" s="3"/>
      <c r="X30" s="7">
        <f t="shared" si="6"/>
        <v>-1.6590861538500121</v>
      </c>
      <c r="Y30" s="3"/>
      <c r="Z30" s="8">
        <f t="shared" si="7"/>
        <v>-1.1210124245994233E-3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1595.35</v>
      </c>
      <c r="E31" s="3"/>
      <c r="F31" s="8">
        <f t="shared" si="0"/>
        <v>4.974899110443071E-3</v>
      </c>
      <c r="G31" s="3"/>
      <c r="H31" s="7">
        <v>511.038461538462</v>
      </c>
      <c r="I31" s="3"/>
      <c r="J31" s="8">
        <f t="shared" si="1"/>
        <v>4.3813311174422326E-3</v>
      </c>
      <c r="K31" s="3"/>
      <c r="L31" s="7">
        <f t="shared" si="2"/>
        <v>1084.311538461538</v>
      </c>
      <c r="M31" s="3"/>
      <c r="N31" s="8">
        <f t="shared" si="3"/>
        <v>2.1217806878904164</v>
      </c>
      <c r="O31" s="12"/>
      <c r="P31" s="7">
        <v>8730.57</v>
      </c>
      <c r="Q31" s="3"/>
      <c r="R31" s="8">
        <f t="shared" si="4"/>
        <v>4.7205404089509699E-3</v>
      </c>
      <c r="S31" s="3"/>
      <c r="T31" s="7">
        <v>4497.1384615384604</v>
      </c>
      <c r="U31" s="3"/>
      <c r="V31" s="8">
        <f t="shared" si="5"/>
        <v>5.0780696268501136E-3</v>
      </c>
      <c r="W31" s="3"/>
      <c r="X31" s="7">
        <f t="shared" si="6"/>
        <v>4233.4315384615393</v>
      </c>
      <c r="Y31" s="3"/>
      <c r="Z31" s="8">
        <f t="shared" si="7"/>
        <v>0.94136117325889324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425.73</v>
      </c>
      <c r="E33" s="3"/>
      <c r="F33" s="8">
        <f t="shared" si="0"/>
        <v>1.3275856697833885E-3</v>
      </c>
      <c r="G33" s="3"/>
      <c r="H33" s="7"/>
      <c r="I33" s="3"/>
      <c r="J33" s="8">
        <f t="shared" si="1"/>
        <v>0</v>
      </c>
      <c r="K33" s="3"/>
      <c r="L33" s="7">
        <f t="shared" si="2"/>
        <v>425.73</v>
      </c>
      <c r="M33" s="3"/>
      <c r="N33" s="8">
        <f t="shared" si="3"/>
        <v>0</v>
      </c>
      <c r="O33" s="12"/>
      <c r="P33" s="7">
        <v>6479.1</v>
      </c>
      <c r="Q33" s="3"/>
      <c r="R33" s="8">
        <f t="shared" si="4"/>
        <v>3.5031908986050435E-3</v>
      </c>
      <c r="S33" s="3"/>
      <c r="T33" s="7"/>
      <c r="U33" s="3"/>
      <c r="V33" s="8">
        <f t="shared" si="5"/>
        <v>0</v>
      </c>
      <c r="W33" s="3"/>
      <c r="X33" s="7">
        <f t="shared" si="6"/>
        <v>6479.1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4120.71</v>
      </c>
      <c r="E34" s="3"/>
      <c r="F34" s="8">
        <f t="shared" si="0"/>
        <v>1.2849917894752793E-2</v>
      </c>
      <c r="G34" s="3"/>
      <c r="H34" s="7">
        <v>2032.26923076923</v>
      </c>
      <c r="I34" s="3"/>
      <c r="J34" s="8">
        <f t="shared" si="1"/>
        <v>1.7423433048433041E-2</v>
      </c>
      <c r="K34" s="3"/>
      <c r="L34" s="7">
        <f t="shared" si="2"/>
        <v>2088.44076923077</v>
      </c>
      <c r="M34" s="3"/>
      <c r="N34" s="8">
        <f t="shared" si="3"/>
        <v>1.027639811502868</v>
      </c>
      <c r="O34" s="12"/>
      <c r="P34" s="7">
        <v>21057.88</v>
      </c>
      <c r="Q34" s="3"/>
      <c r="R34" s="8">
        <f t="shared" si="4"/>
        <v>1.1385805676701574E-2</v>
      </c>
      <c r="S34" s="3"/>
      <c r="T34" s="7">
        <v>17883.969230769198</v>
      </c>
      <c r="U34" s="3"/>
      <c r="V34" s="8">
        <f t="shared" si="5"/>
        <v>2.0194183864915536E-2</v>
      </c>
      <c r="W34" s="3"/>
      <c r="X34" s="7">
        <f t="shared" si="6"/>
        <v>3173.9107692308025</v>
      </c>
      <c r="Y34" s="3"/>
      <c r="Z34" s="8">
        <f t="shared" si="7"/>
        <v>0.17747239040034352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3167.16</v>
      </c>
      <c r="E35" s="3"/>
      <c r="F35" s="8">
        <f t="shared" si="0"/>
        <v>9.8763916799641943E-3</v>
      </c>
      <c r="G35" s="3"/>
      <c r="H35" s="7">
        <v>2555.3012307692302</v>
      </c>
      <c r="I35" s="3"/>
      <c r="J35" s="8">
        <f t="shared" si="1"/>
        <v>2.1907589427033868E-2</v>
      </c>
      <c r="K35" s="3"/>
      <c r="L35" s="7">
        <f t="shared" si="2"/>
        <v>611.85876923076967</v>
      </c>
      <c r="M35" s="3"/>
      <c r="N35" s="8">
        <f t="shared" si="3"/>
        <v>0.2394468260192478</v>
      </c>
      <c r="O35" s="12"/>
      <c r="P35" s="7">
        <v>17541.64</v>
      </c>
      <c r="Q35" s="3"/>
      <c r="R35" s="8">
        <f t="shared" si="4"/>
        <v>9.4846064414202853E-3</v>
      </c>
      <c r="S35" s="3"/>
      <c r="T35" s="7">
        <v>21142.701230769198</v>
      </c>
      <c r="U35" s="3"/>
      <c r="V35" s="8">
        <f t="shared" si="5"/>
        <v>2.3873872211799006E-2</v>
      </c>
      <c r="W35" s="3"/>
      <c r="X35" s="7">
        <f t="shared" si="6"/>
        <v>-3601.061230769199</v>
      </c>
      <c r="Y35" s="3"/>
      <c r="Z35" s="8">
        <f t="shared" si="7"/>
        <v>-0.17032171960735729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1238.1400000000001</v>
      </c>
      <c r="E36" s="3"/>
      <c r="F36" s="8">
        <f t="shared" si="0"/>
        <v>3.8609844765123543E-3</v>
      </c>
      <c r="G36" s="3"/>
      <c r="H36" s="7">
        <v>1925</v>
      </c>
      <c r="I36" s="3"/>
      <c r="J36" s="8">
        <f t="shared" si="1"/>
        <v>1.6503772290809328E-2</v>
      </c>
      <c r="K36" s="3"/>
      <c r="L36" s="7">
        <f t="shared" si="2"/>
        <v>-686.8599999999999</v>
      </c>
      <c r="M36" s="3"/>
      <c r="N36" s="8">
        <f t="shared" si="3"/>
        <v>-0.35681038961038958</v>
      </c>
      <c r="O36" s="12"/>
      <c r="P36" s="7">
        <v>11435.92</v>
      </c>
      <c r="Q36" s="3"/>
      <c r="R36" s="8">
        <f t="shared" si="4"/>
        <v>6.1832987392038069E-3</v>
      </c>
      <c r="S36" s="3"/>
      <c r="T36" s="7">
        <v>19250</v>
      </c>
      <c r="U36" s="3"/>
      <c r="V36" s="8">
        <f t="shared" si="5"/>
        <v>2.1736675700090333E-2</v>
      </c>
      <c r="W36" s="3"/>
      <c r="X36" s="7">
        <f t="shared" si="6"/>
        <v>-7814.08</v>
      </c>
      <c r="Y36" s="3"/>
      <c r="Z36" s="8">
        <f t="shared" si="7"/>
        <v>-0.40592623376623377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77426.409999999989</v>
      </c>
      <c r="E37" s="2"/>
      <c r="F37" s="6">
        <f t="shared" si="0"/>
        <v>0.24144455964760114</v>
      </c>
      <c r="G37" s="2"/>
      <c r="H37" s="2">
        <f>SUM(OSRRefH22_1x_0)</f>
        <v>80589.137230769222</v>
      </c>
      <c r="I37" s="2"/>
      <c r="J37" s="6">
        <f t="shared" si="1"/>
        <v>0.69092195842566206</v>
      </c>
      <c r="K37" s="2"/>
      <c r="L37" s="2">
        <f t="shared" si="2"/>
        <v>-3162.7272307692328</v>
      </c>
      <c r="M37" s="2"/>
      <c r="N37" s="6">
        <f t="shared" si="3"/>
        <v>-3.9245081154209112E-2</v>
      </c>
      <c r="O37" s="14"/>
      <c r="P37" s="2">
        <f>SUM(OSRRefP22_1x_0)</f>
        <v>627634.59</v>
      </c>
      <c r="Q37" s="2"/>
      <c r="R37" s="6">
        <f t="shared" si="4"/>
        <v>0.33935635865131081</v>
      </c>
      <c r="S37" s="2"/>
      <c r="T37" s="2">
        <f>SUM(OSRRefT22_1x_0)</f>
        <v>665730.03723076917</v>
      </c>
      <c r="U37" s="2"/>
      <c r="V37" s="6">
        <f t="shared" si="5"/>
        <v>0.75172768431658665</v>
      </c>
      <c r="W37" s="2"/>
      <c r="X37" s="2">
        <f t="shared" si="6"/>
        <v>-38095.447230769205</v>
      </c>
      <c r="Y37" s="2"/>
      <c r="Z37" s="6">
        <f t="shared" si="7"/>
        <v>-5.722356676173794E-2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16717.689999999999</v>
      </c>
      <c r="E39" s="3"/>
      <c r="F39" s="8">
        <f t="shared" si="0"/>
        <v>5.2132021882134338E-2</v>
      </c>
      <c r="G39" s="3"/>
      <c r="H39" s="7">
        <v>5585.7692307692296</v>
      </c>
      <c r="I39" s="3"/>
      <c r="J39" s="8">
        <f t="shared" si="1"/>
        <v>4.7888968027856908E-2</v>
      </c>
      <c r="K39" s="3"/>
      <c r="L39" s="7">
        <f t="shared" si="2"/>
        <v>11131.920769230768</v>
      </c>
      <c r="M39" s="3"/>
      <c r="N39" s="8">
        <f t="shared" si="3"/>
        <v>1.9929073882806585</v>
      </c>
      <c r="O39" s="12"/>
      <c r="P39" s="7">
        <v>97426.61</v>
      </c>
      <c r="Q39" s="3"/>
      <c r="R39" s="8">
        <f t="shared" si="4"/>
        <v>5.2677688789174899E-2</v>
      </c>
      <c r="S39" s="3"/>
      <c r="T39" s="7">
        <v>49154.769230769198</v>
      </c>
      <c r="U39" s="3"/>
      <c r="V39" s="8">
        <f t="shared" si="5"/>
        <v>5.5504481967896563E-2</v>
      </c>
      <c r="W39" s="3"/>
      <c r="X39" s="7">
        <f t="shared" si="6"/>
        <v>48271.840769230803</v>
      </c>
      <c r="Y39" s="3"/>
      <c r="Z39" s="8">
        <f t="shared" si="7"/>
        <v>0.98203778645784567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31964.34</v>
      </c>
      <c r="E41" s="3"/>
      <c r="F41" s="8">
        <f t="shared" si="0"/>
        <v>9.9676789815338257E-2</v>
      </c>
      <c r="G41" s="3"/>
      <c r="H41" s="7">
        <v>34113.599999999999</v>
      </c>
      <c r="I41" s="3"/>
      <c r="J41" s="8">
        <f t="shared" si="1"/>
        <v>0.29246913580246914</v>
      </c>
      <c r="K41" s="3"/>
      <c r="L41" s="7">
        <f t="shared" si="2"/>
        <v>-2149.2599999999984</v>
      </c>
      <c r="M41" s="3"/>
      <c r="N41" s="8">
        <f t="shared" si="3"/>
        <v>-6.3003025186435871E-2</v>
      </c>
      <c r="O41" s="12"/>
      <c r="P41" s="7">
        <v>248860.54</v>
      </c>
      <c r="Q41" s="3"/>
      <c r="R41" s="8">
        <f t="shared" si="4"/>
        <v>0.13455664810698034</v>
      </c>
      <c r="S41" s="3"/>
      <c r="T41" s="7">
        <v>300199.67999999999</v>
      </c>
      <c r="U41" s="3"/>
      <c r="V41" s="8">
        <f t="shared" si="5"/>
        <v>0.33897886178861786</v>
      </c>
      <c r="W41" s="3"/>
      <c r="X41" s="7">
        <f t="shared" si="6"/>
        <v>-51339.139999999985</v>
      </c>
      <c r="Y41" s="3"/>
      <c r="Z41" s="8">
        <f t="shared" si="7"/>
        <v>-0.17101663799241887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7872.89</v>
      </c>
      <c r="E42" s="3"/>
      <c r="F42" s="8">
        <f t="shared" si="0"/>
        <v>2.4550621153738145E-2</v>
      </c>
      <c r="G42" s="3"/>
      <c r="H42" s="7">
        <v>7760</v>
      </c>
      <c r="I42" s="3"/>
      <c r="J42" s="8">
        <f t="shared" si="1"/>
        <v>6.6529492455418379E-2</v>
      </c>
      <c r="K42" s="3"/>
      <c r="L42" s="7">
        <f t="shared" si="2"/>
        <v>112.89000000000033</v>
      </c>
      <c r="M42" s="3"/>
      <c r="N42" s="8">
        <f t="shared" si="3"/>
        <v>1.4547680412371176E-2</v>
      </c>
      <c r="O42" s="12"/>
      <c r="P42" s="7">
        <v>95368.2</v>
      </c>
      <c r="Q42" s="3"/>
      <c r="R42" s="8">
        <f t="shared" si="4"/>
        <v>5.156472507853644E-2</v>
      </c>
      <c r="S42" s="3"/>
      <c r="T42" s="7">
        <v>66658.399999999994</v>
      </c>
      <c r="U42" s="3"/>
      <c r="V42" s="8">
        <f t="shared" si="5"/>
        <v>7.5269196025293583E-2</v>
      </c>
      <c r="W42" s="3"/>
      <c r="X42" s="7">
        <f t="shared" si="6"/>
        <v>28709.800000000003</v>
      </c>
      <c r="Y42" s="3"/>
      <c r="Z42" s="8">
        <f t="shared" si="7"/>
        <v>0.43070040685044952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9605.2900000000009</v>
      </c>
      <c r="E44" s="3"/>
      <c r="F44" s="8">
        <f t="shared" si="0"/>
        <v>2.9952893519633768E-2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9605.2900000000009</v>
      </c>
      <c r="M44" s="3"/>
      <c r="N44" s="8">
        <f t="shared" si="3"/>
        <v>0</v>
      </c>
      <c r="O44" s="12"/>
      <c r="P44" s="7">
        <v>140201.79</v>
      </c>
      <c r="Q44" s="3"/>
      <c r="R44" s="8">
        <f t="shared" si="4"/>
        <v>7.580584258556522E-2</v>
      </c>
      <c r="S44" s="3"/>
      <c r="T44" s="7">
        <v>12561.5</v>
      </c>
      <c r="U44" s="3"/>
      <c r="V44" s="8">
        <f t="shared" si="5"/>
        <v>1.4184168925022583E-2</v>
      </c>
      <c r="W44" s="3"/>
      <c r="X44" s="7">
        <f t="shared" si="6"/>
        <v>127640.29000000001</v>
      </c>
      <c r="Y44" s="3"/>
      <c r="Z44" s="8">
        <f t="shared" si="7"/>
        <v>10.161229948652629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11266.2</v>
      </c>
      <c r="E45" s="3"/>
      <c r="F45" s="8">
        <f t="shared" si="0"/>
        <v>3.5132233276756658E-2</v>
      </c>
      <c r="G45" s="3"/>
      <c r="H45" s="7">
        <v>33129.767999999996</v>
      </c>
      <c r="I45" s="3"/>
      <c r="J45" s="8">
        <f t="shared" si="1"/>
        <v>0.28403436213991767</v>
      </c>
      <c r="K45" s="3"/>
      <c r="L45" s="7">
        <f t="shared" si="2"/>
        <v>-21863.567999999996</v>
      </c>
      <c r="M45" s="3"/>
      <c r="N45" s="8">
        <f t="shared" si="3"/>
        <v>-0.65993725039064555</v>
      </c>
      <c r="O45" s="12"/>
      <c r="P45" s="7">
        <v>45777.45</v>
      </c>
      <c r="Q45" s="3"/>
      <c r="R45" s="8">
        <f t="shared" si="4"/>
        <v>2.4751454091053917E-2</v>
      </c>
      <c r="S45" s="3"/>
      <c r="T45" s="7">
        <v>237155.68799999999</v>
      </c>
      <c r="U45" s="3"/>
      <c r="V45" s="8">
        <f t="shared" si="5"/>
        <v>0.26779097560975607</v>
      </c>
      <c r="W45" s="3"/>
      <c r="X45" s="7">
        <f t="shared" si="6"/>
        <v>-191378.23800000001</v>
      </c>
      <c r="Y45" s="3"/>
      <c r="Z45" s="8">
        <f t="shared" si="7"/>
        <v>-0.80697300416425188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194.84</v>
      </c>
      <c r="E48" s="2"/>
      <c r="F48" s="6">
        <f t="shared" si="0"/>
        <v>6.0758413055362649E-4</v>
      </c>
      <c r="G48" s="2"/>
      <c r="H48" s="2">
        <f>SUM(OSRRefH22_2x_0)</f>
        <v>350</v>
      </c>
      <c r="I48" s="2"/>
      <c r="J48" s="6">
        <f t="shared" si="1"/>
        <v>3.0006858710562414E-3</v>
      </c>
      <c r="K48" s="2"/>
      <c r="L48" s="2">
        <f t="shared" si="2"/>
        <v>-155.16</v>
      </c>
      <c r="M48" s="2"/>
      <c r="N48" s="6">
        <f t="shared" si="3"/>
        <v>-0.44331428571428572</v>
      </c>
      <c r="O48" s="14"/>
      <c r="P48" s="2">
        <f>SUM(OSRRefP22_2x_0)</f>
        <v>1253</v>
      </c>
      <c r="Q48" s="2"/>
      <c r="R48" s="6">
        <f t="shared" si="4"/>
        <v>6.7748579215510163E-4</v>
      </c>
      <c r="S48" s="2"/>
      <c r="T48" s="2">
        <f>SUM(OSRRefT22_2x_0)</f>
        <v>3500</v>
      </c>
      <c r="U48" s="2"/>
      <c r="V48" s="6">
        <f t="shared" si="5"/>
        <v>3.9521228545618793E-3</v>
      </c>
      <c r="W48" s="2"/>
      <c r="X48" s="2">
        <f t="shared" si="6"/>
        <v>-2247</v>
      </c>
      <c r="Y48" s="2"/>
      <c r="Z48" s="6">
        <f t="shared" si="7"/>
        <v>-0.64200000000000002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194.84</v>
      </c>
      <c r="E49" s="3"/>
      <c r="F49" s="8">
        <f t="shared" si="0"/>
        <v>6.0758413055362649E-4</v>
      </c>
      <c r="G49" s="3"/>
      <c r="H49" s="7">
        <v>350</v>
      </c>
      <c r="I49" s="3"/>
      <c r="J49" s="8">
        <f t="shared" si="1"/>
        <v>3.0006858710562414E-3</v>
      </c>
      <c r="K49" s="3"/>
      <c r="L49" s="7">
        <f t="shared" si="2"/>
        <v>-155.16</v>
      </c>
      <c r="M49" s="3"/>
      <c r="N49" s="8">
        <f t="shared" si="3"/>
        <v>-0.44331428571428572</v>
      </c>
      <c r="O49" s="12"/>
      <c r="P49" s="7">
        <v>1253</v>
      </c>
      <c r="Q49" s="3"/>
      <c r="R49" s="8">
        <f t="shared" si="4"/>
        <v>6.7748579215510163E-4</v>
      </c>
      <c r="S49" s="3"/>
      <c r="T49" s="7">
        <v>3500</v>
      </c>
      <c r="U49" s="3"/>
      <c r="V49" s="8">
        <f t="shared" si="5"/>
        <v>3.9521228545618793E-3</v>
      </c>
      <c r="W49" s="3"/>
      <c r="X49" s="7">
        <f t="shared" si="6"/>
        <v>-2247</v>
      </c>
      <c r="Y49" s="3"/>
      <c r="Z49" s="8">
        <f t="shared" si="7"/>
        <v>-0.64200000000000002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10</v>
      </c>
      <c r="I50" s="2"/>
      <c r="J50" s="6">
        <f t="shared" si="1"/>
        <v>8.573388203017832E-5</v>
      </c>
      <c r="K50" s="2"/>
      <c r="L50" s="2">
        <f t="shared" si="2"/>
        <v>-10</v>
      </c>
      <c r="M50" s="2"/>
      <c r="N50" s="6">
        <f t="shared" si="3"/>
        <v>-1</v>
      </c>
      <c r="O50" s="14"/>
      <c r="P50" s="2">
        <f>SUM(OSRRefP22_3x_0)</f>
        <v>8</v>
      </c>
      <c r="Q50" s="2"/>
      <c r="R50" s="6">
        <f t="shared" si="4"/>
        <v>4.325527803065294E-6</v>
      </c>
      <c r="S50" s="2"/>
      <c r="T50" s="2">
        <f>SUM(OSRRefT22_3x_0)</f>
        <v>90</v>
      </c>
      <c r="U50" s="2"/>
      <c r="V50" s="6">
        <f t="shared" si="5"/>
        <v>1.016260162601626E-4</v>
      </c>
      <c r="W50" s="2"/>
      <c r="X50" s="2">
        <f t="shared" si="6"/>
        <v>-82</v>
      </c>
      <c r="Y50" s="2"/>
      <c r="Z50" s="6">
        <f t="shared" si="7"/>
        <v>-0.91111111111111109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/>
      <c r="E51" s="3"/>
      <c r="F51" s="8">
        <f t="shared" si="0"/>
        <v>0</v>
      </c>
      <c r="G51" s="3"/>
      <c r="H51" s="7">
        <v>10</v>
      </c>
      <c r="I51" s="3"/>
      <c r="J51" s="8">
        <f t="shared" si="1"/>
        <v>8.573388203017832E-5</v>
      </c>
      <c r="K51" s="3"/>
      <c r="L51" s="7">
        <f t="shared" si="2"/>
        <v>-10</v>
      </c>
      <c r="M51" s="3"/>
      <c r="N51" s="8">
        <f t="shared" si="3"/>
        <v>-1</v>
      </c>
      <c r="O51" s="12"/>
      <c r="P51" s="7">
        <v>8</v>
      </c>
      <c r="Q51" s="3"/>
      <c r="R51" s="8">
        <f t="shared" si="4"/>
        <v>4.325527803065294E-6</v>
      </c>
      <c r="S51" s="3"/>
      <c r="T51" s="7">
        <v>90</v>
      </c>
      <c r="U51" s="3"/>
      <c r="V51" s="8">
        <f t="shared" si="5"/>
        <v>1.016260162601626E-4</v>
      </c>
      <c r="W51" s="3"/>
      <c r="X51" s="7">
        <f t="shared" si="6"/>
        <v>-82</v>
      </c>
      <c r="Y51" s="3"/>
      <c r="Z51" s="8">
        <f t="shared" si="7"/>
        <v>-0.91111111111111109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74.94</v>
      </c>
      <c r="E52" s="2"/>
      <c r="F52" s="6">
        <f t="shared" si="0"/>
        <v>2.3369100155865718E-4</v>
      </c>
      <c r="G52" s="2"/>
      <c r="H52" s="2">
        <f>SUM(OSRRefH22_4x_0)</f>
        <v>25</v>
      </c>
      <c r="I52" s="2"/>
      <c r="J52" s="6">
        <f t="shared" si="1"/>
        <v>2.1433470507544581E-4</v>
      </c>
      <c r="K52" s="2"/>
      <c r="L52" s="2">
        <f t="shared" si="2"/>
        <v>49.94</v>
      </c>
      <c r="M52" s="2"/>
      <c r="N52" s="6">
        <f t="shared" si="3"/>
        <v>1.9975999999999998</v>
      </c>
      <c r="O52" s="14"/>
      <c r="P52" s="2">
        <f>SUM(OSRRefP22_4x_0)</f>
        <v>488.28</v>
      </c>
      <c r="Q52" s="2"/>
      <c r="R52" s="6">
        <f t="shared" si="4"/>
        <v>2.6400858946009021E-4</v>
      </c>
      <c r="S52" s="2"/>
      <c r="T52" s="2">
        <f>SUM(OSRRefT22_4x_0)</f>
        <v>225</v>
      </c>
      <c r="U52" s="2"/>
      <c r="V52" s="6">
        <f t="shared" si="5"/>
        <v>2.5406504065040653E-4</v>
      </c>
      <c r="W52" s="2"/>
      <c r="X52" s="2">
        <f t="shared" si="6"/>
        <v>263.27999999999997</v>
      </c>
      <c r="Y52" s="2"/>
      <c r="Z52" s="6">
        <f t="shared" si="7"/>
        <v>1.1701333333333332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74.94</v>
      </c>
      <c r="E53" s="3"/>
      <c r="F53" s="8">
        <f t="shared" si="0"/>
        <v>2.3369100155865718E-4</v>
      </c>
      <c r="G53" s="3"/>
      <c r="H53" s="7">
        <v>25</v>
      </c>
      <c r="I53" s="3"/>
      <c r="J53" s="8">
        <f t="shared" si="1"/>
        <v>2.1433470507544581E-4</v>
      </c>
      <c r="K53" s="3"/>
      <c r="L53" s="7">
        <f t="shared" si="2"/>
        <v>49.94</v>
      </c>
      <c r="M53" s="3"/>
      <c r="N53" s="8">
        <f t="shared" si="3"/>
        <v>1.9975999999999998</v>
      </c>
      <c r="O53" s="12"/>
      <c r="P53" s="7">
        <v>488.28</v>
      </c>
      <c r="Q53" s="3"/>
      <c r="R53" s="8">
        <f t="shared" si="4"/>
        <v>2.6400858946009021E-4</v>
      </c>
      <c r="S53" s="3"/>
      <c r="T53" s="7">
        <v>225</v>
      </c>
      <c r="U53" s="3"/>
      <c r="V53" s="8">
        <f t="shared" si="5"/>
        <v>2.5406504065040653E-4</v>
      </c>
      <c r="W53" s="3"/>
      <c r="X53" s="7">
        <f t="shared" si="6"/>
        <v>263.27999999999997</v>
      </c>
      <c r="Y53" s="3"/>
      <c r="Z53" s="8">
        <f t="shared" si="7"/>
        <v>1.1701333333333332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213.02</v>
      </c>
      <c r="E54" s="2"/>
      <c r="F54" s="6">
        <f t="shared" si="0"/>
        <v>6.642761829733808E-4</v>
      </c>
      <c r="G54" s="2"/>
      <c r="H54" s="2">
        <f>SUM(OSRRefH22_5x_0)</f>
        <v>213</v>
      </c>
      <c r="I54" s="2"/>
      <c r="J54" s="6">
        <f t="shared" si="1"/>
        <v>1.8261316872427984E-3</v>
      </c>
      <c r="K54" s="2"/>
      <c r="L54" s="2">
        <f t="shared" si="2"/>
        <v>2.0000000000010232E-2</v>
      </c>
      <c r="M54" s="2"/>
      <c r="N54" s="6">
        <f t="shared" si="3"/>
        <v>9.3896713615071505E-5</v>
      </c>
      <c r="O54" s="14"/>
      <c r="P54" s="2">
        <f>SUM(OSRRefP22_5x_0)</f>
        <v>2130.1999999999998</v>
      </c>
      <c r="Q54" s="2"/>
      <c r="R54" s="6">
        <f t="shared" si="4"/>
        <v>1.1517799157612111E-3</v>
      </c>
      <c r="S54" s="2"/>
      <c r="T54" s="2">
        <f>SUM(OSRRefT22_5x_0)</f>
        <v>2130</v>
      </c>
      <c r="U54" s="2"/>
      <c r="V54" s="6">
        <f t="shared" si="5"/>
        <v>2.4051490514905151E-3</v>
      </c>
      <c r="W54" s="2"/>
      <c r="X54" s="2">
        <f t="shared" si="6"/>
        <v>0.1999999999998181</v>
      </c>
      <c r="Y54" s="2"/>
      <c r="Z54" s="6">
        <f t="shared" si="7"/>
        <v>9.389671361493808E-5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213.02</v>
      </c>
      <c r="E55" s="3"/>
      <c r="F55" s="8">
        <f t="shared" si="0"/>
        <v>6.642761829733808E-4</v>
      </c>
      <c r="G55" s="3"/>
      <c r="H55" s="7">
        <v>213</v>
      </c>
      <c r="I55" s="3"/>
      <c r="J55" s="8">
        <f t="shared" si="1"/>
        <v>1.8261316872427984E-3</v>
      </c>
      <c r="K55" s="3"/>
      <c r="L55" s="7">
        <f t="shared" si="2"/>
        <v>2.0000000000010232E-2</v>
      </c>
      <c r="M55" s="3"/>
      <c r="N55" s="8">
        <f t="shared" si="3"/>
        <v>9.3896713615071505E-5</v>
      </c>
      <c r="O55" s="12"/>
      <c r="P55" s="7">
        <v>2130.1999999999998</v>
      </c>
      <c r="Q55" s="3"/>
      <c r="R55" s="8">
        <f t="shared" si="4"/>
        <v>1.1517799157612111E-3</v>
      </c>
      <c r="S55" s="3"/>
      <c r="T55" s="7">
        <v>2130</v>
      </c>
      <c r="U55" s="3"/>
      <c r="V55" s="8">
        <f t="shared" si="5"/>
        <v>2.4051490514905151E-3</v>
      </c>
      <c r="W55" s="3"/>
      <c r="X55" s="7">
        <f t="shared" si="6"/>
        <v>0.1999999999998181</v>
      </c>
      <c r="Y55" s="3"/>
      <c r="Z55" s="8">
        <f t="shared" si="7"/>
        <v>9.389671361493808E-5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1797.46</v>
      </c>
      <c r="E56" s="2"/>
      <c r="F56" s="6">
        <f t="shared" si="0"/>
        <v>5.6051538252151582E-3</v>
      </c>
      <c r="G56" s="2"/>
      <c r="H56" s="2">
        <f>SUM(OSRRefH22_6x_0)</f>
        <v>3000</v>
      </c>
      <c r="I56" s="2"/>
      <c r="J56" s="6">
        <f t="shared" si="1"/>
        <v>2.5720164609053499E-2</v>
      </c>
      <c r="K56" s="2"/>
      <c r="L56" s="2">
        <f t="shared" si="2"/>
        <v>-1202.54</v>
      </c>
      <c r="M56" s="2"/>
      <c r="N56" s="6">
        <f t="shared" si="3"/>
        <v>-0.40084666666666663</v>
      </c>
      <c r="O56" s="14"/>
      <c r="P56" s="2">
        <f>SUM(OSRRefP22_6x_0)</f>
        <v>11401.03</v>
      </c>
      <c r="Q56" s="2"/>
      <c r="R56" s="6">
        <f t="shared" si="4"/>
        <v>6.1644340310726886E-3</v>
      </c>
      <c r="S56" s="2"/>
      <c r="T56" s="2">
        <f>SUM(OSRRefT22_6x_0)</f>
        <v>27000</v>
      </c>
      <c r="U56" s="2"/>
      <c r="V56" s="6">
        <f t="shared" si="5"/>
        <v>3.048780487804878E-2</v>
      </c>
      <c r="W56" s="2"/>
      <c r="X56" s="2">
        <f t="shared" si="6"/>
        <v>-15598.97</v>
      </c>
      <c r="Y56" s="2"/>
      <c r="Z56" s="6">
        <f t="shared" si="7"/>
        <v>-0.57773962962962966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7">
        <v>1797.46</v>
      </c>
      <c r="E57" s="3"/>
      <c r="F57" s="8">
        <f t="shared" ref="F57:F88" si="8">IF(D$12=0,0,D57/D$12)</f>
        <v>5.6051538252151582E-3</v>
      </c>
      <c r="G57" s="3"/>
      <c r="H57" s="7">
        <v>3000</v>
      </c>
      <c r="I57" s="3"/>
      <c r="J57" s="8">
        <f t="shared" ref="J57:J88" si="9">IF(H$12=0,0,H57/H$12)</f>
        <v>2.5720164609053499E-2</v>
      </c>
      <c r="K57" s="3"/>
      <c r="L57" s="7">
        <f t="shared" ref="L57:L88" si="10">+D57-H57</f>
        <v>-1202.54</v>
      </c>
      <c r="M57" s="3"/>
      <c r="N57" s="8">
        <f t="shared" ref="N57:N88" si="11">IF(H57=0,0,L57/H57)</f>
        <v>-0.40084666666666663</v>
      </c>
      <c r="O57" s="12"/>
      <c r="P57" s="7">
        <v>11401.03</v>
      </c>
      <c r="Q57" s="3"/>
      <c r="R57" s="8">
        <f t="shared" ref="R57:R88" si="12">IF(P$12=0,0,P57/P$12)</f>
        <v>6.1644340310726886E-3</v>
      </c>
      <c r="S57" s="3"/>
      <c r="T57" s="7">
        <v>27000</v>
      </c>
      <c r="U57" s="3"/>
      <c r="V57" s="8">
        <f t="shared" ref="V57:V88" si="13">IF(T$12=0,0,T57/T$12)</f>
        <v>3.048780487804878E-2</v>
      </c>
      <c r="W57" s="3"/>
      <c r="X57" s="7">
        <f t="shared" ref="X57:X88" si="14">+P57-T57</f>
        <v>-15598.97</v>
      </c>
      <c r="Y57" s="3"/>
      <c r="Z57" s="8">
        <f t="shared" ref="Z57:Z88" si="15">IF(T57=0,0,X57/T57)</f>
        <v>-0.57773962962962966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50</v>
      </c>
      <c r="I58" s="2"/>
      <c r="J58" s="6">
        <f t="shared" si="9"/>
        <v>4.2866941015089161E-4</v>
      </c>
      <c r="K58" s="2"/>
      <c r="L58" s="2">
        <f t="shared" si="10"/>
        <v>-50</v>
      </c>
      <c r="M58" s="2"/>
      <c r="N58" s="6">
        <f t="shared" si="11"/>
        <v>-1</v>
      </c>
      <c r="O58" s="14"/>
      <c r="P58" s="2">
        <f>SUM(OSRRefP22_7x_0)</f>
        <v>90.47</v>
      </c>
      <c r="Q58" s="2"/>
      <c r="R58" s="6">
        <f t="shared" si="12"/>
        <v>4.8916312542914642E-5</v>
      </c>
      <c r="S58" s="2"/>
      <c r="T58" s="2">
        <f>SUM(OSRRefT22_7x_0)</f>
        <v>500</v>
      </c>
      <c r="U58" s="2"/>
      <c r="V58" s="6">
        <f t="shared" si="13"/>
        <v>5.6458897922312553E-4</v>
      </c>
      <c r="W58" s="2"/>
      <c r="X58" s="2">
        <f t="shared" si="14"/>
        <v>-409.53</v>
      </c>
      <c r="Y58" s="2"/>
      <c r="Z58" s="6">
        <f t="shared" si="15"/>
        <v>-0.8190599999999999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8"/>
        <v>0</v>
      </c>
      <c r="G59" s="3"/>
      <c r="H59" s="7">
        <v>50</v>
      </c>
      <c r="I59" s="3"/>
      <c r="J59" s="8">
        <f t="shared" si="9"/>
        <v>4.2866941015089161E-4</v>
      </c>
      <c r="K59" s="3"/>
      <c r="L59" s="7">
        <f t="shared" si="10"/>
        <v>-50</v>
      </c>
      <c r="M59" s="3"/>
      <c r="N59" s="8">
        <f t="shared" si="11"/>
        <v>-1</v>
      </c>
      <c r="O59" s="12"/>
      <c r="P59" s="7">
        <v>90.47</v>
      </c>
      <c r="Q59" s="3"/>
      <c r="R59" s="8">
        <f t="shared" si="12"/>
        <v>4.8916312542914642E-5</v>
      </c>
      <c r="S59" s="3"/>
      <c r="T59" s="7">
        <v>500</v>
      </c>
      <c r="U59" s="3"/>
      <c r="V59" s="8">
        <f t="shared" si="13"/>
        <v>5.6458897922312553E-4</v>
      </c>
      <c r="W59" s="3"/>
      <c r="X59" s="7">
        <f t="shared" si="14"/>
        <v>-409.53</v>
      </c>
      <c r="Y59" s="3"/>
      <c r="Z59" s="8">
        <f t="shared" si="15"/>
        <v>-0.8190599999999999</v>
      </c>
    </row>
    <row r="60" spans="1:26" s="69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SUM(OSRRefD22_8x_0)</f>
        <v>0</v>
      </c>
      <c r="E60" s="2"/>
      <c r="F60" s="6">
        <f t="shared" si="8"/>
        <v>0</v>
      </c>
      <c r="G60" s="2"/>
      <c r="H60" s="2">
        <f>SUM(OSRRefH22_8x_0)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2071.98</v>
      </c>
      <c r="Q60" s="2"/>
      <c r="R60" s="6">
        <f t="shared" si="12"/>
        <v>1.1203008871744035E-3</v>
      </c>
      <c r="S60" s="2"/>
      <c r="T60" s="2">
        <f>SUM(OSRRefT22_8x_0)</f>
        <v>2300</v>
      </c>
      <c r="U60" s="2"/>
      <c r="V60" s="6">
        <f t="shared" si="13"/>
        <v>2.5971093044263776E-3</v>
      </c>
      <c r="W60" s="2"/>
      <c r="X60" s="2">
        <f t="shared" si="14"/>
        <v>-228.01999999999998</v>
      </c>
      <c r="Y60" s="2"/>
      <c r="Z60" s="6">
        <f t="shared" si="15"/>
        <v>-9.9139130434782605E-2</v>
      </c>
    </row>
    <row r="61" spans="1:26" s="70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2071.98</v>
      </c>
      <c r="Q61" s="3"/>
      <c r="R61" s="8">
        <f t="shared" si="12"/>
        <v>1.1203008871744035E-3</v>
      </c>
      <c r="S61" s="3"/>
      <c r="T61" s="7">
        <v>2300</v>
      </c>
      <c r="U61" s="3"/>
      <c r="V61" s="8">
        <f t="shared" si="13"/>
        <v>2.5971093044263776E-3</v>
      </c>
      <c r="W61" s="3"/>
      <c r="X61" s="7">
        <f t="shared" si="14"/>
        <v>-228.01999999999998</v>
      </c>
      <c r="Y61" s="3"/>
      <c r="Z61" s="8">
        <f t="shared" si="15"/>
        <v>-9.9139130434782605E-2</v>
      </c>
    </row>
    <row r="62" spans="1:26" s="69" customFormat="1" ht="15" customHeight="1" outlineLevel="1" collapsed="1" x14ac:dyDescent="0.3">
      <c r="A62" s="25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SUM(OSRRefD22_9x_0)</f>
        <v>5.21</v>
      </c>
      <c r="E62" s="2"/>
      <c r="F62" s="6">
        <f t="shared" si="8"/>
        <v>1.6246732294110008E-5</v>
      </c>
      <c r="G62" s="2"/>
      <c r="H62" s="2">
        <f>SUM(OSRRefH22_9x_0)</f>
        <v>10</v>
      </c>
      <c r="I62" s="2"/>
      <c r="J62" s="6">
        <f t="shared" si="9"/>
        <v>8.573388203017832E-5</v>
      </c>
      <c r="K62" s="2"/>
      <c r="L62" s="2">
        <f t="shared" si="10"/>
        <v>-4.79</v>
      </c>
      <c r="M62" s="2"/>
      <c r="N62" s="6">
        <f t="shared" si="11"/>
        <v>-0.47899999999999998</v>
      </c>
      <c r="O62" s="14"/>
      <c r="P62" s="2">
        <f>SUM(OSRRefP22_9x_0)</f>
        <v>52.11</v>
      </c>
      <c r="Q62" s="2"/>
      <c r="R62" s="6">
        <f t="shared" si="12"/>
        <v>2.8175406727216557E-5</v>
      </c>
      <c r="S62" s="2"/>
      <c r="T62" s="2">
        <f>SUM(OSRRefT22_9x_0)</f>
        <v>100</v>
      </c>
      <c r="U62" s="2"/>
      <c r="V62" s="6">
        <f t="shared" si="13"/>
        <v>1.1291779584462511E-4</v>
      </c>
      <c r="W62" s="2"/>
      <c r="X62" s="2">
        <f t="shared" si="14"/>
        <v>-47.89</v>
      </c>
      <c r="Y62" s="2"/>
      <c r="Z62" s="6">
        <f t="shared" si="15"/>
        <v>-0.47889999999999999</v>
      </c>
    </row>
    <row r="63" spans="1:26" s="70" customFormat="1" ht="15" hidden="1" customHeight="1" outlineLevel="2" x14ac:dyDescent="0.3">
      <c r="A63" s="26"/>
      <c r="B63" s="12" t="str">
        <f>CONCATENATE("          ","6314"," - ","LIABILITY INSURANCE")</f>
        <v xml:space="preserve">          6314 - LIABILITY INSURANCE</v>
      </c>
      <c r="C63" s="12"/>
      <c r="D63" s="7">
        <v>5.21</v>
      </c>
      <c r="E63" s="3"/>
      <c r="F63" s="8">
        <f t="shared" si="8"/>
        <v>1.6246732294110008E-5</v>
      </c>
      <c r="G63" s="3"/>
      <c r="H63" s="7">
        <v>10</v>
      </c>
      <c r="I63" s="3"/>
      <c r="J63" s="8">
        <f t="shared" si="9"/>
        <v>8.573388203017832E-5</v>
      </c>
      <c r="K63" s="3"/>
      <c r="L63" s="7">
        <f t="shared" si="10"/>
        <v>-4.79</v>
      </c>
      <c r="M63" s="3"/>
      <c r="N63" s="8">
        <f t="shared" si="11"/>
        <v>-0.47899999999999998</v>
      </c>
      <c r="O63" s="12"/>
      <c r="P63" s="7">
        <v>52.11</v>
      </c>
      <c r="Q63" s="3"/>
      <c r="R63" s="8">
        <f t="shared" si="12"/>
        <v>2.8175406727216557E-5</v>
      </c>
      <c r="S63" s="3"/>
      <c r="T63" s="7">
        <v>100</v>
      </c>
      <c r="U63" s="3"/>
      <c r="V63" s="8">
        <f t="shared" si="13"/>
        <v>1.1291779584462511E-4</v>
      </c>
      <c r="W63" s="3"/>
      <c r="X63" s="7">
        <f t="shared" si="14"/>
        <v>-47.89</v>
      </c>
      <c r="Y63" s="3"/>
      <c r="Z63" s="8">
        <f t="shared" si="15"/>
        <v>-0.47889999999999999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25401.53</v>
      </c>
      <c r="E64" s="2"/>
      <c r="F64" s="6">
        <f t="shared" si="8"/>
        <v>7.9211489015509437E-2</v>
      </c>
      <c r="G64" s="2"/>
      <c r="H64" s="2">
        <f>SUM(OSRRefH22_10x_0)</f>
        <v>9331</v>
      </c>
      <c r="I64" s="2"/>
      <c r="J64" s="6">
        <f t="shared" si="9"/>
        <v>7.9998285322359391E-2</v>
      </c>
      <c r="K64" s="2"/>
      <c r="L64" s="2">
        <f t="shared" si="10"/>
        <v>16070.529999999999</v>
      </c>
      <c r="M64" s="2"/>
      <c r="N64" s="6">
        <f t="shared" si="11"/>
        <v>1.7222730682670666</v>
      </c>
      <c r="O64" s="14"/>
      <c r="P64" s="2">
        <f>SUM(OSRRefP22_10x_0)</f>
        <v>143317.92000000001</v>
      </c>
      <c r="Q64" s="2"/>
      <c r="R64" s="6">
        <f t="shared" si="12"/>
        <v>7.7490705954685948E-2</v>
      </c>
      <c r="S64" s="2"/>
      <c r="T64" s="2">
        <f>SUM(OSRRefT22_10x_0)</f>
        <v>70848</v>
      </c>
      <c r="U64" s="2"/>
      <c r="V64" s="6">
        <f t="shared" si="13"/>
        <v>0.08</v>
      </c>
      <c r="W64" s="2"/>
      <c r="X64" s="2">
        <f t="shared" si="14"/>
        <v>72469.920000000013</v>
      </c>
      <c r="Y64" s="2"/>
      <c r="Z64" s="6">
        <f t="shared" si="15"/>
        <v>1.0228929539295395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7">
        <v>25401.53</v>
      </c>
      <c r="E65" s="3"/>
      <c r="F65" s="8">
        <f t="shared" si="8"/>
        <v>7.9211489015509437E-2</v>
      </c>
      <c r="G65" s="3"/>
      <c r="H65" s="7">
        <v>9331</v>
      </c>
      <c r="I65" s="3"/>
      <c r="J65" s="8">
        <f t="shared" si="9"/>
        <v>7.9998285322359391E-2</v>
      </c>
      <c r="K65" s="3"/>
      <c r="L65" s="7">
        <f t="shared" si="10"/>
        <v>16070.529999999999</v>
      </c>
      <c r="M65" s="3"/>
      <c r="N65" s="8">
        <f t="shared" si="11"/>
        <v>1.7222730682670666</v>
      </c>
      <c r="O65" s="12"/>
      <c r="P65" s="7">
        <v>143317.92000000001</v>
      </c>
      <c r="Q65" s="3"/>
      <c r="R65" s="8">
        <f t="shared" si="12"/>
        <v>7.7490705954685948E-2</v>
      </c>
      <c r="S65" s="3"/>
      <c r="T65" s="7">
        <v>70848</v>
      </c>
      <c r="U65" s="3"/>
      <c r="V65" s="8">
        <f t="shared" si="13"/>
        <v>0.08</v>
      </c>
      <c r="W65" s="3"/>
      <c r="X65" s="7">
        <f t="shared" si="14"/>
        <v>72469.920000000013</v>
      </c>
      <c r="Y65" s="3"/>
      <c r="Z65" s="8">
        <f t="shared" si="15"/>
        <v>1.0228929539295395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0</v>
      </c>
      <c r="E66" s="2"/>
      <c r="F66" s="6">
        <f t="shared" si="8"/>
        <v>0</v>
      </c>
      <c r="G66" s="2"/>
      <c r="H66" s="2">
        <f>SUM(OSRRefH22_11x_0)</f>
        <v>1600</v>
      </c>
      <c r="I66" s="2"/>
      <c r="J66" s="6">
        <f t="shared" si="9"/>
        <v>1.3717421124828532E-2</v>
      </c>
      <c r="K66" s="2"/>
      <c r="L66" s="2">
        <f t="shared" si="10"/>
        <v>-1600</v>
      </c>
      <c r="M66" s="2"/>
      <c r="N66" s="6">
        <f t="shared" si="11"/>
        <v>-1</v>
      </c>
      <c r="O66" s="14"/>
      <c r="P66" s="2">
        <f>SUM(OSRRefP22_11x_0)</f>
        <v>2538.2799999999997</v>
      </c>
      <c r="Q66" s="2"/>
      <c r="R66" s="6">
        <f t="shared" si="12"/>
        <v>1.3724250889955716E-3</v>
      </c>
      <c r="S66" s="2"/>
      <c r="T66" s="2">
        <f>SUM(OSRRefT22_11x_0)</f>
        <v>5500</v>
      </c>
      <c r="U66" s="2"/>
      <c r="V66" s="6">
        <f t="shared" si="13"/>
        <v>6.2104787714543815E-3</v>
      </c>
      <c r="W66" s="2"/>
      <c r="X66" s="2">
        <f t="shared" si="14"/>
        <v>-2961.7200000000003</v>
      </c>
      <c r="Y66" s="2"/>
      <c r="Z66" s="6">
        <f t="shared" si="15"/>
        <v>-0.53849454545454545</v>
      </c>
    </row>
    <row r="67" spans="1:26" s="70" customFormat="1" ht="15" hidden="1" customHeight="1" outlineLevel="2" x14ac:dyDescent="0.3">
      <c r="A67" s="26"/>
      <c r="B67" s="12" t="str">
        <f>CONCATENATE("          ","6371"," - ","COMPUTER SOFTWARE MAINTENANCE")</f>
        <v xml:space="preserve">          6371 - COMPUTER SOFTWARE MAINTENANCE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/>
      <c r="Q67" s="3"/>
      <c r="R67" s="8">
        <f t="shared" si="12"/>
        <v>0</v>
      </c>
      <c r="S67" s="3"/>
      <c r="T67" s="7">
        <v>0</v>
      </c>
      <c r="U67" s="3"/>
      <c r="V67" s="8">
        <f t="shared" si="13"/>
        <v>0</v>
      </c>
      <c r="W67" s="3"/>
      <c r="X67" s="7">
        <f t="shared" si="14"/>
        <v>0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/>
      <c r="E68" s="3"/>
      <c r="F68" s="8">
        <f t="shared" si="8"/>
        <v>0</v>
      </c>
      <c r="G68" s="3"/>
      <c r="H68" s="7">
        <v>1500</v>
      </c>
      <c r="I68" s="3"/>
      <c r="J68" s="8">
        <f t="shared" si="9"/>
        <v>1.2860082304526749E-2</v>
      </c>
      <c r="K68" s="3"/>
      <c r="L68" s="7">
        <f t="shared" si="10"/>
        <v>-1500</v>
      </c>
      <c r="M68" s="3"/>
      <c r="N68" s="8">
        <f t="shared" si="11"/>
        <v>-1</v>
      </c>
      <c r="O68" s="12"/>
      <c r="P68" s="7">
        <v>221.66</v>
      </c>
      <c r="Q68" s="3"/>
      <c r="R68" s="8">
        <f t="shared" si="12"/>
        <v>1.1984956160343163E-4</v>
      </c>
      <c r="S68" s="3"/>
      <c r="T68" s="7">
        <v>4500</v>
      </c>
      <c r="U68" s="3"/>
      <c r="V68" s="8">
        <f t="shared" si="13"/>
        <v>5.08130081300813E-3</v>
      </c>
      <c r="W68" s="3"/>
      <c r="X68" s="7">
        <f t="shared" si="14"/>
        <v>-4278.34</v>
      </c>
      <c r="Y68" s="3"/>
      <c r="Z68" s="8">
        <f t="shared" si="15"/>
        <v>-0.95074222222222227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/>
      <c r="E69" s="3"/>
      <c r="F69" s="8">
        <f t="shared" si="8"/>
        <v>0</v>
      </c>
      <c r="G69" s="3"/>
      <c r="H69" s="7">
        <v>100</v>
      </c>
      <c r="I69" s="3"/>
      <c r="J69" s="8">
        <f t="shared" si="9"/>
        <v>8.5733882030178323E-4</v>
      </c>
      <c r="K69" s="3"/>
      <c r="L69" s="7">
        <f t="shared" si="10"/>
        <v>-100</v>
      </c>
      <c r="M69" s="3"/>
      <c r="N69" s="8">
        <f t="shared" si="11"/>
        <v>-1</v>
      </c>
      <c r="O69" s="12"/>
      <c r="P69" s="7">
        <v>2316.62</v>
      </c>
      <c r="Q69" s="3"/>
      <c r="R69" s="8">
        <f t="shared" si="12"/>
        <v>1.2525755273921401E-3</v>
      </c>
      <c r="S69" s="3"/>
      <c r="T69" s="7">
        <v>1000</v>
      </c>
      <c r="U69" s="3"/>
      <c r="V69" s="8">
        <f t="shared" si="13"/>
        <v>1.1291779584462511E-3</v>
      </c>
      <c r="W69" s="3"/>
      <c r="X69" s="7">
        <f t="shared" si="14"/>
        <v>1316.62</v>
      </c>
      <c r="Y69" s="3"/>
      <c r="Z69" s="8">
        <f t="shared" si="15"/>
        <v>1.3166199999999999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5548.13</v>
      </c>
      <c r="E70" s="2"/>
      <c r="F70" s="6">
        <f t="shared" si="8"/>
        <v>1.7301148338372468E-2</v>
      </c>
      <c r="G70" s="2"/>
      <c r="H70" s="2">
        <f>SUM(OSRRefH22_12x_0)</f>
        <v>7224</v>
      </c>
      <c r="I70" s="2"/>
      <c r="J70" s="6">
        <f t="shared" si="9"/>
        <v>6.1934156378600821E-2</v>
      </c>
      <c r="K70" s="2"/>
      <c r="L70" s="2">
        <f t="shared" si="10"/>
        <v>-1675.87</v>
      </c>
      <c r="M70" s="2"/>
      <c r="N70" s="6">
        <f t="shared" si="11"/>
        <v>-0.23198643410852712</v>
      </c>
      <c r="O70" s="14"/>
      <c r="P70" s="2">
        <f>SUM(OSRRefP22_12x_0)</f>
        <v>49273.77</v>
      </c>
      <c r="Q70" s="2"/>
      <c r="R70" s="6">
        <f t="shared" si="12"/>
        <v>2.6641882762105572E-2</v>
      </c>
      <c r="S70" s="2"/>
      <c r="T70" s="2">
        <f>SUM(OSRRefT22_12x_0)</f>
        <v>69128</v>
      </c>
      <c r="U70" s="2"/>
      <c r="V70" s="6">
        <f t="shared" si="13"/>
        <v>7.8057813911472443E-2</v>
      </c>
      <c r="W70" s="2"/>
      <c r="X70" s="2">
        <f t="shared" si="14"/>
        <v>-19854.230000000003</v>
      </c>
      <c r="Y70" s="2"/>
      <c r="Z70" s="6">
        <f t="shared" si="15"/>
        <v>-0.28720966901978945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7"/>
      <c r="E71" s="3"/>
      <c r="F71" s="8">
        <f t="shared" si="8"/>
        <v>0</v>
      </c>
      <c r="G71" s="3"/>
      <c r="H71" s="7">
        <v>670</v>
      </c>
      <c r="I71" s="3"/>
      <c r="J71" s="8">
        <f t="shared" si="9"/>
        <v>5.744170096021948E-3</v>
      </c>
      <c r="K71" s="3"/>
      <c r="L71" s="7">
        <f t="shared" si="10"/>
        <v>-670</v>
      </c>
      <c r="M71" s="3"/>
      <c r="N71" s="8">
        <f t="shared" si="11"/>
        <v>-1</v>
      </c>
      <c r="O71" s="12"/>
      <c r="P71" s="7">
        <v>6608.25</v>
      </c>
      <c r="Q71" s="3"/>
      <c r="R71" s="8">
        <f t="shared" si="12"/>
        <v>3.5730211380757787E-3</v>
      </c>
      <c r="S71" s="3"/>
      <c r="T71" s="7">
        <v>6700</v>
      </c>
      <c r="U71" s="3"/>
      <c r="V71" s="8">
        <f t="shared" si="13"/>
        <v>7.5654923215898824E-3</v>
      </c>
      <c r="W71" s="3"/>
      <c r="X71" s="7">
        <f t="shared" si="14"/>
        <v>-91.75</v>
      </c>
      <c r="Y71" s="3"/>
      <c r="Z71" s="8">
        <f t="shared" si="15"/>
        <v>-1.3694029850746268E-2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7"/>
      <c r="E72" s="3"/>
      <c r="F72" s="8">
        <f t="shared" si="8"/>
        <v>0</v>
      </c>
      <c r="G72" s="3"/>
      <c r="H72" s="7">
        <v>50</v>
      </c>
      <c r="I72" s="3"/>
      <c r="J72" s="8">
        <f t="shared" si="9"/>
        <v>4.2866941015089161E-4</v>
      </c>
      <c r="K72" s="3"/>
      <c r="L72" s="7">
        <f t="shared" si="10"/>
        <v>-50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500</v>
      </c>
      <c r="U72" s="3"/>
      <c r="V72" s="8">
        <f t="shared" si="13"/>
        <v>5.6458897922312553E-4</v>
      </c>
      <c r="W72" s="3"/>
      <c r="X72" s="7">
        <f t="shared" si="14"/>
        <v>-500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5548.13</v>
      </c>
      <c r="E73" s="3"/>
      <c r="F73" s="8">
        <f t="shared" si="8"/>
        <v>1.7301148338372468E-2</v>
      </c>
      <c r="G73" s="3"/>
      <c r="H73" s="7">
        <v>4904</v>
      </c>
      <c r="I73" s="3"/>
      <c r="J73" s="8">
        <f t="shared" si="9"/>
        <v>4.2043895747599452E-2</v>
      </c>
      <c r="K73" s="3"/>
      <c r="L73" s="7">
        <f t="shared" si="10"/>
        <v>644.13000000000011</v>
      </c>
      <c r="M73" s="3"/>
      <c r="N73" s="8">
        <f t="shared" si="11"/>
        <v>0.13134787928221861</v>
      </c>
      <c r="O73" s="12"/>
      <c r="P73" s="7">
        <v>35411.07</v>
      </c>
      <c r="Q73" s="3"/>
      <c r="R73" s="8">
        <f t="shared" si="12"/>
        <v>1.9146445977661415E-2</v>
      </c>
      <c r="S73" s="3"/>
      <c r="T73" s="7">
        <v>47528</v>
      </c>
      <c r="U73" s="3"/>
      <c r="V73" s="8">
        <f t="shared" si="13"/>
        <v>5.3667570009033425E-2</v>
      </c>
      <c r="W73" s="3"/>
      <c r="X73" s="7">
        <f t="shared" si="14"/>
        <v>-12116.93</v>
      </c>
      <c r="Y73" s="3"/>
      <c r="Z73" s="8">
        <f t="shared" si="15"/>
        <v>-0.25494298097963308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7"/>
      <c r="E74" s="3"/>
      <c r="F74" s="8">
        <f t="shared" si="8"/>
        <v>0</v>
      </c>
      <c r="G74" s="3"/>
      <c r="H74" s="7">
        <v>1600</v>
      </c>
      <c r="I74" s="3"/>
      <c r="J74" s="8">
        <f t="shared" si="9"/>
        <v>1.3717421124828532E-2</v>
      </c>
      <c r="K74" s="3"/>
      <c r="L74" s="7">
        <f t="shared" si="10"/>
        <v>-1600</v>
      </c>
      <c r="M74" s="3"/>
      <c r="N74" s="8">
        <f t="shared" si="11"/>
        <v>-1</v>
      </c>
      <c r="O74" s="12"/>
      <c r="P74" s="7">
        <v>7254.45</v>
      </c>
      <c r="Q74" s="3"/>
      <c r="R74" s="8">
        <f t="shared" si="12"/>
        <v>3.9224156463683775E-3</v>
      </c>
      <c r="S74" s="3"/>
      <c r="T74" s="7">
        <v>14400</v>
      </c>
      <c r="U74" s="3"/>
      <c r="V74" s="8">
        <f t="shared" si="13"/>
        <v>1.6260162601626018E-2</v>
      </c>
      <c r="W74" s="3"/>
      <c r="X74" s="7">
        <f t="shared" si="14"/>
        <v>-7145.55</v>
      </c>
      <c r="Y74" s="3"/>
      <c r="Z74" s="8">
        <f t="shared" si="15"/>
        <v>-0.49621874999999999</v>
      </c>
    </row>
    <row r="75" spans="1:26" s="69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14615.310000000001</v>
      </c>
      <c r="E75" s="2"/>
      <c r="F75" s="6">
        <f t="shared" si="8"/>
        <v>4.5576013237126484E-2</v>
      </c>
      <c r="G75" s="2"/>
      <c r="H75" s="2">
        <f>SUM(OSRRefH22_13x_0)</f>
        <v>4446</v>
      </c>
      <c r="I75" s="2"/>
      <c r="J75" s="6">
        <f t="shared" si="9"/>
        <v>3.8117283950617281E-2</v>
      </c>
      <c r="K75" s="2"/>
      <c r="L75" s="2">
        <f t="shared" si="10"/>
        <v>10169.310000000001</v>
      </c>
      <c r="M75" s="2"/>
      <c r="N75" s="6">
        <f t="shared" si="11"/>
        <v>2.2872941970310396</v>
      </c>
      <c r="O75" s="14"/>
      <c r="P75" s="2">
        <f>SUM(OSRRefP22_13x_0)</f>
        <v>88810.099999999991</v>
      </c>
      <c r="Q75" s="2"/>
      <c r="R75" s="6">
        <f t="shared" si="12"/>
        <v>4.8018819592876127E-2</v>
      </c>
      <c r="S75" s="2"/>
      <c r="T75" s="2">
        <f>SUM(OSRRefT22_13x_0)</f>
        <v>54560</v>
      </c>
      <c r="U75" s="2"/>
      <c r="V75" s="6">
        <f t="shared" si="13"/>
        <v>6.1607949412827462E-2</v>
      </c>
      <c r="W75" s="2"/>
      <c r="X75" s="2">
        <f t="shared" si="14"/>
        <v>34250.099999999991</v>
      </c>
      <c r="Y75" s="2"/>
      <c r="Z75" s="6">
        <f t="shared" si="15"/>
        <v>0.6277510997067447</v>
      </c>
    </row>
    <row r="76" spans="1:26" s="70" customFormat="1" ht="15" hidden="1" customHeight="1" outlineLevel="2" x14ac:dyDescent="0.3">
      <c r="A76" s="26"/>
      <c r="B76" s="12" t="str">
        <f>CONCATENATE("          ","6237"," - ","JANITORIAL SUPPLIES")</f>
        <v xml:space="preserve">          6237 - JANITORIAL SUPPLIES</v>
      </c>
      <c r="C76" s="12"/>
      <c r="D76" s="7">
        <v>11638.4</v>
      </c>
      <c r="E76" s="3"/>
      <c r="F76" s="8">
        <f t="shared" si="8"/>
        <v>3.6292892347748545E-2</v>
      </c>
      <c r="G76" s="3"/>
      <c r="H76" s="7">
        <v>2000</v>
      </c>
      <c r="I76" s="3"/>
      <c r="J76" s="8">
        <f t="shared" si="9"/>
        <v>1.7146776406035666E-2</v>
      </c>
      <c r="K76" s="3"/>
      <c r="L76" s="7">
        <f t="shared" si="10"/>
        <v>9638.4</v>
      </c>
      <c r="M76" s="3"/>
      <c r="N76" s="8">
        <f t="shared" si="11"/>
        <v>4.8191999999999995</v>
      </c>
      <c r="O76" s="12"/>
      <c r="P76" s="7">
        <v>29786.2</v>
      </c>
      <c r="Q76" s="3"/>
      <c r="R76" s="8">
        <f t="shared" si="12"/>
        <v>1.6105129530957933E-2</v>
      </c>
      <c r="S76" s="3"/>
      <c r="T76" s="7">
        <v>23000</v>
      </c>
      <c r="U76" s="3"/>
      <c r="V76" s="8">
        <f t="shared" si="13"/>
        <v>2.5971093044263777E-2</v>
      </c>
      <c r="W76" s="3"/>
      <c r="X76" s="7">
        <f t="shared" si="14"/>
        <v>6786.2000000000007</v>
      </c>
      <c r="Y76" s="3"/>
      <c r="Z76" s="8">
        <f t="shared" si="15"/>
        <v>0.2950521739130435</v>
      </c>
    </row>
    <row r="77" spans="1:26" s="70" customFormat="1" ht="15" hidden="1" customHeight="1" outlineLevel="2" x14ac:dyDescent="0.3">
      <c r="A77" s="26"/>
      <c r="B77" s="12" t="str">
        <f>CONCATENATE("          ","6239"," - ","KITCHEN SUPPLIES")</f>
        <v xml:space="preserve">          6239 - KITCHEN SUPPLIES</v>
      </c>
      <c r="C77" s="12"/>
      <c r="D77" s="7">
        <v>1474.58</v>
      </c>
      <c r="E77" s="3"/>
      <c r="F77" s="8">
        <f t="shared" si="8"/>
        <v>4.5982929954412159E-3</v>
      </c>
      <c r="G77" s="3"/>
      <c r="H77" s="7"/>
      <c r="I77" s="3"/>
      <c r="J77" s="8">
        <f t="shared" si="9"/>
        <v>0</v>
      </c>
      <c r="K77" s="3"/>
      <c r="L77" s="7">
        <f t="shared" si="10"/>
        <v>1474.58</v>
      </c>
      <c r="M77" s="3"/>
      <c r="N77" s="8">
        <f t="shared" si="11"/>
        <v>0</v>
      </c>
      <c r="O77" s="12"/>
      <c r="P77" s="7">
        <v>11494.46</v>
      </c>
      <c r="Q77" s="3"/>
      <c r="R77" s="8">
        <f t="shared" si="12"/>
        <v>6.2149507889027369E-3</v>
      </c>
      <c r="S77" s="3"/>
      <c r="T77" s="7">
        <v>9100</v>
      </c>
      <c r="U77" s="3"/>
      <c r="V77" s="8">
        <f t="shared" si="13"/>
        <v>1.0275519421860885E-2</v>
      </c>
      <c r="W77" s="3"/>
      <c r="X77" s="7">
        <f t="shared" si="14"/>
        <v>2394.4599999999991</v>
      </c>
      <c r="Y77" s="3"/>
      <c r="Z77" s="8">
        <f t="shared" si="15"/>
        <v>0.26312747252747243</v>
      </c>
    </row>
    <row r="78" spans="1:26" s="70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7">
        <v>2.2000000000000002</v>
      </c>
      <c r="E78" s="3"/>
      <c r="F78" s="8">
        <f t="shared" si="8"/>
        <v>6.8604243852287949E-6</v>
      </c>
      <c r="G78" s="3"/>
      <c r="H78" s="7">
        <v>125</v>
      </c>
      <c r="I78" s="3"/>
      <c r="J78" s="8">
        <f t="shared" si="9"/>
        <v>1.0716735253772291E-3</v>
      </c>
      <c r="K78" s="3"/>
      <c r="L78" s="7">
        <f t="shared" si="10"/>
        <v>-122.8</v>
      </c>
      <c r="M78" s="3"/>
      <c r="N78" s="8">
        <f t="shared" si="11"/>
        <v>-0.98239999999999994</v>
      </c>
      <c r="O78" s="12"/>
      <c r="P78" s="7">
        <v>6324.34</v>
      </c>
      <c r="Q78" s="3"/>
      <c r="R78" s="8">
        <f t="shared" si="12"/>
        <v>3.4195135632547453E-3</v>
      </c>
      <c r="S78" s="3"/>
      <c r="T78" s="7">
        <v>1250</v>
      </c>
      <c r="U78" s="3"/>
      <c r="V78" s="8">
        <f t="shared" si="13"/>
        <v>1.4114724480578139E-3</v>
      </c>
      <c r="W78" s="3"/>
      <c r="X78" s="7">
        <f t="shared" si="14"/>
        <v>5074.34</v>
      </c>
      <c r="Y78" s="3"/>
      <c r="Z78" s="8">
        <f t="shared" si="15"/>
        <v>4.0594720000000004</v>
      </c>
    </row>
    <row r="79" spans="1:26" s="70" customFormat="1" ht="15" hidden="1" customHeight="1" outlineLevel="2" x14ac:dyDescent="0.3">
      <c r="A79" s="26"/>
      <c r="B79" s="12" t="str">
        <f>CONCATENATE("          ","6243"," - ","PAPER SUPPLIES")</f>
        <v xml:space="preserve">          6243 - PAPER SUPPLIES</v>
      </c>
      <c r="C79" s="12"/>
      <c r="D79" s="7">
        <v>1500.13</v>
      </c>
      <c r="E79" s="3"/>
      <c r="F79" s="8">
        <f t="shared" si="8"/>
        <v>4.677967469551487E-3</v>
      </c>
      <c r="G79" s="3"/>
      <c r="H79" s="7">
        <v>2000</v>
      </c>
      <c r="I79" s="3"/>
      <c r="J79" s="8">
        <f t="shared" si="9"/>
        <v>1.7146776406035666E-2</v>
      </c>
      <c r="K79" s="3"/>
      <c r="L79" s="7">
        <f t="shared" si="10"/>
        <v>-499.86999999999989</v>
      </c>
      <c r="M79" s="3"/>
      <c r="N79" s="8">
        <f t="shared" si="11"/>
        <v>-0.24993499999999993</v>
      </c>
      <c r="O79" s="12"/>
      <c r="P79" s="7">
        <v>38682.06</v>
      </c>
      <c r="Q79" s="3"/>
      <c r="R79" s="8">
        <f t="shared" si="12"/>
        <v>2.0915040751229984E-2</v>
      </c>
      <c r="S79" s="3"/>
      <c r="T79" s="7">
        <v>18000</v>
      </c>
      <c r="U79" s="3"/>
      <c r="V79" s="8">
        <f t="shared" si="13"/>
        <v>2.032520325203252E-2</v>
      </c>
      <c r="W79" s="3"/>
      <c r="X79" s="7">
        <f t="shared" si="14"/>
        <v>20682.059999999998</v>
      </c>
      <c r="Y79" s="3"/>
      <c r="Z79" s="8">
        <f t="shared" si="15"/>
        <v>1.1490033333333332</v>
      </c>
    </row>
    <row r="80" spans="1:26" s="70" customFormat="1" ht="15" hidden="1" customHeight="1" outlineLevel="2" x14ac:dyDescent="0.3">
      <c r="A80" s="26"/>
      <c r="B80" s="12" t="str">
        <f>CONCATENATE("          ","6244"," - ","SAFETY SUPPLY EXPENSE")</f>
        <v xml:space="preserve">          6244 - SAFETY SUPPLY EXPENSE</v>
      </c>
      <c r="C80" s="12"/>
      <c r="D80" s="7"/>
      <c r="E80" s="3"/>
      <c r="F80" s="8">
        <f t="shared" si="8"/>
        <v>0</v>
      </c>
      <c r="G80" s="3"/>
      <c r="H80" s="7">
        <v>125</v>
      </c>
      <c r="I80" s="3"/>
      <c r="J80" s="8">
        <f t="shared" si="9"/>
        <v>1.0716735253772291E-3</v>
      </c>
      <c r="K80" s="3"/>
      <c r="L80" s="7">
        <f t="shared" si="10"/>
        <v>-125</v>
      </c>
      <c r="M80" s="3"/>
      <c r="N80" s="8">
        <f t="shared" si="11"/>
        <v>-1</v>
      </c>
      <c r="O80" s="12"/>
      <c r="P80" s="7"/>
      <c r="Q80" s="3"/>
      <c r="R80" s="8">
        <f t="shared" si="12"/>
        <v>0</v>
      </c>
      <c r="S80" s="3"/>
      <c r="T80" s="7">
        <v>1250</v>
      </c>
      <c r="U80" s="3"/>
      <c r="V80" s="8">
        <f t="shared" si="13"/>
        <v>1.4114724480578139E-3</v>
      </c>
      <c r="W80" s="3"/>
      <c r="X80" s="7">
        <f t="shared" si="14"/>
        <v>-1250</v>
      </c>
      <c r="Y80" s="3"/>
      <c r="Z80" s="8">
        <f t="shared" si="15"/>
        <v>-1</v>
      </c>
    </row>
    <row r="81" spans="1:26" s="70" customFormat="1" ht="15" hidden="1" customHeight="1" outlineLevel="2" x14ac:dyDescent="0.3">
      <c r="A81" s="26"/>
      <c r="B81" s="12" t="str">
        <f>CONCATENATE("          ","6247"," - ","STORE SUPPLIES")</f>
        <v xml:space="preserve">          6247 - STORE SUPPLIES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652.62</v>
      </c>
      <c r="Q81" s="3"/>
      <c r="R81" s="8">
        <f t="shared" si="12"/>
        <v>3.5286574435455901E-4</v>
      </c>
      <c r="S81" s="3"/>
      <c r="T81" s="7"/>
      <c r="U81" s="3"/>
      <c r="V81" s="8">
        <f t="shared" si="13"/>
        <v>0</v>
      </c>
      <c r="W81" s="3"/>
      <c r="X81" s="7">
        <f t="shared" si="14"/>
        <v>652.62</v>
      </c>
      <c r="Y81" s="3"/>
      <c r="Z81" s="8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","6248"," - ","UNIFORMS")</f>
        <v xml:space="preserve">          6248 - UNIFORMS</v>
      </c>
      <c r="C82" s="12"/>
      <c r="D82" s="7"/>
      <c r="E82" s="3"/>
      <c r="F82" s="8">
        <f t="shared" si="8"/>
        <v>0</v>
      </c>
      <c r="G82" s="3"/>
      <c r="H82" s="7">
        <v>196</v>
      </c>
      <c r="I82" s="3"/>
      <c r="J82" s="8">
        <f t="shared" si="9"/>
        <v>1.6803840877914953E-3</v>
      </c>
      <c r="K82" s="3"/>
      <c r="L82" s="7">
        <f t="shared" si="10"/>
        <v>-196</v>
      </c>
      <c r="M82" s="3"/>
      <c r="N82" s="8">
        <f t="shared" si="11"/>
        <v>-1</v>
      </c>
      <c r="O82" s="12"/>
      <c r="P82" s="7">
        <v>1870.42</v>
      </c>
      <c r="Q82" s="3"/>
      <c r="R82" s="8">
        <f t="shared" si="12"/>
        <v>1.0113192141761734E-3</v>
      </c>
      <c r="S82" s="3"/>
      <c r="T82" s="7">
        <v>1960</v>
      </c>
      <c r="U82" s="3"/>
      <c r="V82" s="8">
        <f t="shared" si="13"/>
        <v>2.2131887985546521E-3</v>
      </c>
      <c r="W82" s="3"/>
      <c r="X82" s="7">
        <f t="shared" si="14"/>
        <v>-89.579999999999927</v>
      </c>
      <c r="Y82" s="3"/>
      <c r="Z82" s="8">
        <f t="shared" si="15"/>
        <v>-4.5704081632653021E-2</v>
      </c>
    </row>
    <row r="83" spans="1:26" s="69" customFormat="1" ht="15" customHeight="1" outlineLevel="1" collapsed="1" x14ac:dyDescent="0.3">
      <c r="A83" s="25"/>
      <c r="B83" s="14" t="str">
        <f>CONCATENATE("     ","Telephone/Data Lines                              ")</f>
        <v xml:space="preserve">     Telephone/Data Lines                              </v>
      </c>
      <c r="C83" s="14"/>
      <c r="D83" s="2">
        <f>SUM(OSRRefD22_14x_0)</f>
        <v>336</v>
      </c>
      <c r="E83" s="2"/>
      <c r="F83" s="6">
        <f t="shared" si="8"/>
        <v>1.0477739061076703E-3</v>
      </c>
      <c r="G83" s="2"/>
      <c r="H83" s="2">
        <f>SUM(OSRRefH22_14x_0)</f>
        <v>125</v>
      </c>
      <c r="I83" s="2"/>
      <c r="J83" s="6">
        <f t="shared" si="9"/>
        <v>1.0716735253772291E-3</v>
      </c>
      <c r="K83" s="2"/>
      <c r="L83" s="2">
        <f t="shared" si="10"/>
        <v>211</v>
      </c>
      <c r="M83" s="2"/>
      <c r="N83" s="6">
        <f t="shared" si="11"/>
        <v>1.6879999999999999</v>
      </c>
      <c r="O83" s="14"/>
      <c r="P83" s="2">
        <f>SUM(OSRRefP22_14x_0)</f>
        <v>1700.85</v>
      </c>
      <c r="Q83" s="2"/>
      <c r="R83" s="6">
        <f t="shared" si="12"/>
        <v>9.1963424548045054E-4</v>
      </c>
      <c r="S83" s="2"/>
      <c r="T83" s="2">
        <f>SUM(OSRRefT22_14x_0)</f>
        <v>1250</v>
      </c>
      <c r="U83" s="2"/>
      <c r="V83" s="6">
        <f t="shared" si="13"/>
        <v>1.4114724480578139E-3</v>
      </c>
      <c r="W83" s="2"/>
      <c r="X83" s="2">
        <f t="shared" si="14"/>
        <v>450.84999999999991</v>
      </c>
      <c r="Y83" s="2"/>
      <c r="Z83" s="6">
        <f t="shared" si="15"/>
        <v>0.36067999999999995</v>
      </c>
    </row>
    <row r="84" spans="1:26" s="70" customFormat="1" ht="15" hidden="1" customHeight="1" outlineLevel="2" x14ac:dyDescent="0.3">
      <c r="A84" s="26"/>
      <c r="B84" s="12" t="str">
        <f>CONCATENATE("          ","6309"," - ","TELEPHONE")</f>
        <v xml:space="preserve">          6309 - TELEPHONE</v>
      </c>
      <c r="C84" s="12"/>
      <c r="D84" s="7">
        <v>336</v>
      </c>
      <c r="E84" s="3"/>
      <c r="F84" s="8">
        <f t="shared" si="8"/>
        <v>1.0477739061076703E-3</v>
      </c>
      <c r="G84" s="3"/>
      <c r="H84" s="7">
        <v>125</v>
      </c>
      <c r="I84" s="3"/>
      <c r="J84" s="8">
        <f t="shared" si="9"/>
        <v>1.0716735253772291E-3</v>
      </c>
      <c r="K84" s="3"/>
      <c r="L84" s="7">
        <f t="shared" si="10"/>
        <v>211</v>
      </c>
      <c r="M84" s="3"/>
      <c r="N84" s="8">
        <f t="shared" si="11"/>
        <v>1.6879999999999999</v>
      </c>
      <c r="O84" s="12"/>
      <c r="P84" s="7">
        <v>1700.85</v>
      </c>
      <c r="Q84" s="3"/>
      <c r="R84" s="8">
        <f t="shared" si="12"/>
        <v>9.1963424548045054E-4</v>
      </c>
      <c r="S84" s="3"/>
      <c r="T84" s="7">
        <v>1250</v>
      </c>
      <c r="U84" s="3"/>
      <c r="V84" s="8">
        <f t="shared" si="13"/>
        <v>1.4114724480578139E-3</v>
      </c>
      <c r="W84" s="3"/>
      <c r="X84" s="7">
        <f t="shared" si="14"/>
        <v>450.84999999999991</v>
      </c>
      <c r="Y84" s="3"/>
      <c r="Z84" s="8">
        <f t="shared" si="15"/>
        <v>0.36067999999999995</v>
      </c>
    </row>
    <row r="85" spans="1:26" s="69" customFormat="1" ht="15" customHeight="1" outlineLevel="1" collapsed="1" x14ac:dyDescent="0.3">
      <c r="A85" s="25"/>
      <c r="B85" s="14" t="str">
        <f>CONCATENATE("     ","Training                                          ")</f>
        <v xml:space="preserve">     Training                                          </v>
      </c>
      <c r="C85" s="14"/>
      <c r="D85" s="2">
        <f>SUM(OSRRefD22_15x_0)</f>
        <v>312</v>
      </c>
      <c r="E85" s="2"/>
      <c r="F85" s="6">
        <f t="shared" si="8"/>
        <v>9.7293291281426539E-4</v>
      </c>
      <c r="G85" s="2"/>
      <c r="H85" s="2">
        <f>SUM(OSRRefH22_15x_0)</f>
        <v>165</v>
      </c>
      <c r="I85" s="2"/>
      <c r="J85" s="6">
        <f t="shared" si="9"/>
        <v>1.4146090534979425E-3</v>
      </c>
      <c r="K85" s="2"/>
      <c r="L85" s="2">
        <f t="shared" si="10"/>
        <v>147</v>
      </c>
      <c r="M85" s="2"/>
      <c r="N85" s="6">
        <f t="shared" si="11"/>
        <v>0.89090909090909087</v>
      </c>
      <c r="O85" s="14"/>
      <c r="P85" s="2">
        <f>SUM(OSRRefP22_15x_0)</f>
        <v>312</v>
      </c>
      <c r="Q85" s="2"/>
      <c r="R85" s="6">
        <f t="shared" si="12"/>
        <v>1.6869558431954645E-4</v>
      </c>
      <c r="S85" s="2"/>
      <c r="T85" s="2">
        <f>SUM(OSRRefT22_15x_0)</f>
        <v>1670</v>
      </c>
      <c r="U85" s="2"/>
      <c r="V85" s="6">
        <f t="shared" si="13"/>
        <v>1.8857271906052393E-3</v>
      </c>
      <c r="W85" s="2"/>
      <c r="X85" s="2">
        <f t="shared" si="14"/>
        <v>-1358</v>
      </c>
      <c r="Y85" s="2"/>
      <c r="Z85" s="6">
        <f t="shared" si="15"/>
        <v>-0.81317365269461073</v>
      </c>
    </row>
    <row r="86" spans="1:26" s="70" customFormat="1" ht="15" hidden="1" customHeight="1" outlineLevel="2" x14ac:dyDescent="0.3">
      <c r="A86" s="26"/>
      <c r="B86" s="12" t="str">
        <f>CONCATENATE("          ","6376"," - ","TRAINING")</f>
        <v xml:space="preserve">          6376 - TRAINING</v>
      </c>
      <c r="C86" s="12"/>
      <c r="D86" s="7">
        <v>312</v>
      </c>
      <c r="E86" s="3"/>
      <c r="F86" s="8">
        <f t="shared" si="8"/>
        <v>9.7293291281426539E-4</v>
      </c>
      <c r="G86" s="3"/>
      <c r="H86" s="7">
        <v>165</v>
      </c>
      <c r="I86" s="3"/>
      <c r="J86" s="8">
        <f t="shared" si="9"/>
        <v>1.4146090534979425E-3</v>
      </c>
      <c r="K86" s="3"/>
      <c r="L86" s="7">
        <f t="shared" si="10"/>
        <v>147</v>
      </c>
      <c r="M86" s="3"/>
      <c r="N86" s="8">
        <f t="shared" si="11"/>
        <v>0.89090909090909087</v>
      </c>
      <c r="O86" s="12"/>
      <c r="P86" s="7">
        <v>312</v>
      </c>
      <c r="Q86" s="3"/>
      <c r="R86" s="8">
        <f t="shared" si="12"/>
        <v>1.6869558431954645E-4</v>
      </c>
      <c r="S86" s="3"/>
      <c r="T86" s="7">
        <v>1670</v>
      </c>
      <c r="U86" s="3"/>
      <c r="V86" s="8">
        <f t="shared" si="13"/>
        <v>1.8857271906052393E-3</v>
      </c>
      <c r="W86" s="3"/>
      <c r="X86" s="7">
        <f t="shared" si="14"/>
        <v>-1358</v>
      </c>
      <c r="Y86" s="3"/>
      <c r="Z86" s="8">
        <f t="shared" si="15"/>
        <v>-0.81317365269461073</v>
      </c>
    </row>
    <row r="87" spans="1:26" s="69" customFormat="1" ht="15" customHeight="1" outlineLevel="1" collapsed="1" x14ac:dyDescent="0.3">
      <c r="A87" s="25"/>
      <c r="B87" s="14" t="str">
        <f>CONCATENATE("     ","Travel                                            ")</f>
        <v xml:space="preserve">     Travel                                            </v>
      </c>
      <c r="C87" s="14"/>
      <c r="D87" s="2">
        <f>SUM(OSRRefD22_16x_0)</f>
        <v>0</v>
      </c>
      <c r="E87" s="2"/>
      <c r="F87" s="6">
        <f t="shared" si="8"/>
        <v>0</v>
      </c>
      <c r="G87" s="2"/>
      <c r="H87" s="2">
        <f>SUM(OSRRefH22_16x_0)</f>
        <v>0</v>
      </c>
      <c r="I87" s="2"/>
      <c r="J87" s="6">
        <f t="shared" si="9"/>
        <v>0</v>
      </c>
      <c r="K87" s="2"/>
      <c r="L87" s="2">
        <f t="shared" si="10"/>
        <v>0</v>
      </c>
      <c r="M87" s="2"/>
      <c r="N87" s="6">
        <f t="shared" si="11"/>
        <v>0</v>
      </c>
      <c r="O87" s="14"/>
      <c r="P87" s="2">
        <f>SUM(OSRRefP22_16x_0)</f>
        <v>239.04</v>
      </c>
      <c r="Q87" s="2"/>
      <c r="R87" s="6">
        <f t="shared" si="12"/>
        <v>1.2924677075559099E-4</v>
      </c>
      <c r="S87" s="2"/>
      <c r="T87" s="2">
        <f>SUM(OSRRefT22_16x_0)</f>
        <v>0</v>
      </c>
      <c r="U87" s="2"/>
      <c r="V87" s="6">
        <f t="shared" si="13"/>
        <v>0</v>
      </c>
      <c r="W87" s="2"/>
      <c r="X87" s="2">
        <f t="shared" si="14"/>
        <v>239.04</v>
      </c>
      <c r="Y87" s="2"/>
      <c r="Z87" s="6">
        <f t="shared" si="15"/>
        <v>0</v>
      </c>
    </row>
    <row r="88" spans="1:26" s="70" customFormat="1" ht="15" hidden="1" customHeight="1" outlineLevel="2" x14ac:dyDescent="0.3">
      <c r="A88" s="26"/>
      <c r="B88" s="12" t="str">
        <f>CONCATENATE("          ","6298"," - ","VEHICLE MILEAGE")</f>
        <v xml:space="preserve">          6298 - VEHICLE MILEAGE</v>
      </c>
      <c r="C88" s="12"/>
      <c r="D88" s="7"/>
      <c r="E88" s="3"/>
      <c r="F88" s="8">
        <f t="shared" si="8"/>
        <v>0</v>
      </c>
      <c r="G88" s="3"/>
      <c r="H88" s="7"/>
      <c r="I88" s="3"/>
      <c r="J88" s="8">
        <f t="shared" si="9"/>
        <v>0</v>
      </c>
      <c r="K88" s="3"/>
      <c r="L88" s="7">
        <f t="shared" si="10"/>
        <v>0</v>
      </c>
      <c r="M88" s="3"/>
      <c r="N88" s="8">
        <f t="shared" si="11"/>
        <v>0</v>
      </c>
      <c r="O88" s="12"/>
      <c r="P88" s="7">
        <v>239.04</v>
      </c>
      <c r="Q88" s="3"/>
      <c r="R88" s="8">
        <f t="shared" si="12"/>
        <v>1.2924677075559099E-4</v>
      </c>
      <c r="S88" s="3"/>
      <c r="T88" s="7"/>
      <c r="U88" s="3"/>
      <c r="V88" s="8">
        <f t="shared" si="13"/>
        <v>0</v>
      </c>
      <c r="W88" s="3"/>
      <c r="X88" s="7">
        <f t="shared" si="14"/>
        <v>239.04</v>
      </c>
      <c r="Y88" s="3"/>
      <c r="Z88" s="8">
        <f t="shared" si="15"/>
        <v>0</v>
      </c>
    </row>
    <row r="89" spans="1:26" s="65" customFormat="1" ht="15" customHeight="1" x14ac:dyDescent="0.3">
      <c r="A89" s="35"/>
      <c r="B89" s="35"/>
      <c r="C89" s="35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35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63" customFormat="1" ht="15" customHeight="1" x14ac:dyDescent="0.3">
      <c r="A90" s="11"/>
      <c r="B90" s="28" t="s">
        <v>291</v>
      </c>
      <c r="C90" s="11"/>
      <c r="D90" s="5">
        <f>SUM(0)</f>
        <v>0</v>
      </c>
      <c r="E90" s="5"/>
      <c r="F90" s="13">
        <f>IF(D$12=0,0,D90/D$12)</f>
        <v>0</v>
      </c>
      <c r="G90" s="5"/>
      <c r="H90" s="5">
        <f>SUM(0)</f>
        <v>0</v>
      </c>
      <c r="I90" s="5"/>
      <c r="J90" s="13">
        <f>IF(H$12=0,0,H90/H$12)</f>
        <v>0</v>
      </c>
      <c r="K90" s="5"/>
      <c r="L90" s="5">
        <f>+D90-H90</f>
        <v>0</v>
      </c>
      <c r="M90" s="5"/>
      <c r="N90" s="13">
        <f>IF(H90=0,0,L90/H90)</f>
        <v>0</v>
      </c>
      <c r="O90" s="11"/>
      <c r="P90" s="5">
        <f>SUM(0)</f>
        <v>0</v>
      </c>
      <c r="Q90" s="5"/>
      <c r="R90" s="13">
        <f>IF(P$12=0,0,P90/P$12)</f>
        <v>0</v>
      </c>
      <c r="S90" s="5"/>
      <c r="T90" s="5">
        <f>SUM(0)</f>
        <v>0</v>
      </c>
      <c r="U90" s="5"/>
      <c r="V90" s="13">
        <f>IF(T$12=0,0,T90/T$12)</f>
        <v>0</v>
      </c>
      <c r="W90" s="5"/>
      <c r="X90" s="5">
        <f>+P90-T90</f>
        <v>0</v>
      </c>
      <c r="Y90" s="5"/>
      <c r="Z90" s="13">
        <f>IF(T90=0,0,X90/T90)</f>
        <v>0</v>
      </c>
    </row>
    <row r="91" spans="1:26" ht="15" customHeight="1" x14ac:dyDescent="0.3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11"/>
      <c r="B92" s="27" t="s">
        <v>292</v>
      </c>
      <c r="C92" s="27"/>
      <c r="D92" s="21">
        <f>+D23-D25+D90</f>
        <v>104056.78000000006</v>
      </c>
      <c r="E92" s="15"/>
      <c r="F92" s="23">
        <f>IF(D$12=0,0,D92/D$12)</f>
        <v>0.32448803225472195</v>
      </c>
      <c r="G92" s="15"/>
      <c r="H92" s="21">
        <f>+H23-H25+H90</f>
        <v>-54944.234746153874</v>
      </c>
      <c r="I92" s="15"/>
      <c r="J92" s="23">
        <f>IF(H$12=0,0,H92/H$12)</f>
        <v>-0.47105825399651813</v>
      </c>
      <c r="K92" s="17"/>
      <c r="L92" s="21">
        <f>+D92-H92</f>
        <v>159001.01474615393</v>
      </c>
      <c r="M92" s="17"/>
      <c r="N92" s="23">
        <f>IF(H92=0,0,L92/H92)</f>
        <v>-2.8938616668472954</v>
      </c>
      <c r="O92" s="28"/>
      <c r="P92" s="21">
        <f>+P23-P25+P90</f>
        <v>242810.85999999964</v>
      </c>
      <c r="Q92" s="15"/>
      <c r="R92" s="23">
        <f>IF(P$12=0,0,P92/P$12)</f>
        <v>0.13128564072702414</v>
      </c>
      <c r="S92" s="15"/>
      <c r="T92" s="21">
        <f>+T23-T25+T90</f>
        <v>-572048.07646615384</v>
      </c>
      <c r="U92" s="15"/>
      <c r="V92" s="23">
        <f>IF(T$12=0,0,T92/T$12)</f>
        <v>-0.64594407911715657</v>
      </c>
      <c r="W92" s="17"/>
      <c r="X92" s="21">
        <f>+P92-T92</f>
        <v>814858.93646615348</v>
      </c>
      <c r="Y92" s="17"/>
      <c r="Z92" s="23">
        <f>IF(T92=0,0,X92/T92)</f>
        <v>-1.424458834823765</v>
      </c>
    </row>
    <row r="93" spans="1:26" ht="15" customHeight="1" x14ac:dyDescent="0.3">
      <c r="A93" s="10"/>
      <c r="B93" s="11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49"/>
      <c r="B94" s="11" t="s">
        <v>293</v>
      </c>
      <c r="C94" s="11"/>
      <c r="D94" s="5">
        <v>27057.69</v>
      </c>
      <c r="E94" s="5"/>
      <c r="F94" s="13">
        <f>IF(D$12=0,0,D94/D$12)</f>
        <v>8.4376016492709677E-2</v>
      </c>
      <c r="G94" s="5"/>
      <c r="H94" s="5">
        <v>15296</v>
      </c>
      <c r="I94" s="5"/>
      <c r="J94" s="13">
        <f>IF(H$12=0,0,H94/H$12)</f>
        <v>0.13113854595336077</v>
      </c>
      <c r="K94" s="5"/>
      <c r="L94" s="5">
        <f>+D94-H94</f>
        <v>11761.689999999999</v>
      </c>
      <c r="M94" s="5"/>
      <c r="N94" s="13">
        <f>IF(H94=0,0,L94/H94)</f>
        <v>0.76893893828451876</v>
      </c>
      <c r="O94" s="11"/>
      <c r="P94" s="5">
        <v>209516.87</v>
      </c>
      <c r="Q94" s="5"/>
      <c r="R94" s="13">
        <f>IF(P$12=0,0,P94/P$12)</f>
        <v>0.1132838807995271</v>
      </c>
      <c r="S94" s="5"/>
      <c r="T94" s="5">
        <v>108941</v>
      </c>
      <c r="U94" s="5"/>
      <c r="V94" s="13">
        <f>IF(T$12=0,0,T94/T$12)</f>
        <v>0.12301377597109305</v>
      </c>
      <c r="W94" s="5"/>
      <c r="X94" s="5">
        <f>+P94-T94</f>
        <v>100575.87</v>
      </c>
      <c r="Y94" s="5"/>
      <c r="Z94" s="13">
        <f>IF(T94=0,0,X94/T94)</f>
        <v>0.92321412507687639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11"/>
      <c r="B96" s="27" t="s">
        <v>294</v>
      </c>
      <c r="C96" s="27"/>
      <c r="D96" s="29">
        <f>+D92-D94</f>
        <v>76999.090000000055</v>
      </c>
      <c r="E96" s="15"/>
      <c r="F96" s="30">
        <f>IF(D$12=0,0,D96/D$12)</f>
        <v>0.24011201576201227</v>
      </c>
      <c r="G96" s="15"/>
      <c r="H96" s="29">
        <f>+H92-H94</f>
        <v>-70240.234746153874</v>
      </c>
      <c r="I96" s="15"/>
      <c r="J96" s="30">
        <f>IF(H$12=0,0,H96/H$12)</f>
        <v>-0.60219679994987885</v>
      </c>
      <c r="K96" s="17"/>
      <c r="L96" s="29">
        <f>D96-H96</f>
        <v>147239.32474615393</v>
      </c>
      <c r="M96" s="17"/>
      <c r="N96" s="30">
        <f>IF(H96=0,0,L96/H96)</f>
        <v>-2.0962248386309139</v>
      </c>
      <c r="O96" s="28"/>
      <c r="P96" s="29">
        <f>+P92-P94</f>
        <v>33293.989999999641</v>
      </c>
      <c r="Q96" s="15"/>
      <c r="R96" s="30">
        <f>IF(P$12=0,0,P96/P$12)</f>
        <v>1.800175992749704E-2</v>
      </c>
      <c r="S96" s="15"/>
      <c r="T96" s="29">
        <f>+T92-T94</f>
        <v>-680989.07646615384</v>
      </c>
      <c r="U96" s="15"/>
      <c r="V96" s="30">
        <f>IF(T$12=0,0,T96/T$12)</f>
        <v>-0.76895785508824954</v>
      </c>
      <c r="W96" s="17"/>
      <c r="X96" s="29">
        <f>P96-T96</f>
        <v>714283.06646615348</v>
      </c>
      <c r="Y96" s="17"/>
      <c r="Z96" s="30">
        <f>IF(T96=0,0,X96/T96)</f>
        <v>-1.048890637384041</v>
      </c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11"/>
      <c r="B99" s="27" t="s">
        <v>297</v>
      </c>
      <c r="C99" s="27"/>
      <c r="D99" s="32">
        <f>SUM(D96:D98)</f>
        <v>76999.090000000055</v>
      </c>
      <c r="E99" s="15"/>
      <c r="F99" s="34">
        <f>IF(D$12=0,0,D99/D$12)</f>
        <v>0.24011201576201227</v>
      </c>
      <c r="G99" s="15"/>
      <c r="H99" s="32">
        <f>SUM(H96:H98)</f>
        <v>-70240.234746153874</v>
      </c>
      <c r="I99" s="15"/>
      <c r="J99" s="34">
        <f>IF(H$12=0,0,H99/H$12)</f>
        <v>-0.60219679994987885</v>
      </c>
      <c r="K99" s="17"/>
      <c r="L99" s="32">
        <f>+D99-H99</f>
        <v>147239.32474615393</v>
      </c>
      <c r="M99" s="17"/>
      <c r="N99" s="34">
        <f>IF(H99=0,0,L99/H99)</f>
        <v>-2.0962248386309139</v>
      </c>
      <c r="O99" s="28"/>
      <c r="P99" s="32">
        <f>SUM(P96:P98)</f>
        <v>33293.989999999641</v>
      </c>
      <c r="Q99" s="15"/>
      <c r="R99" s="34">
        <f>IF(P$12=0,0,P99/P$12)</f>
        <v>1.800175992749704E-2</v>
      </c>
      <c r="S99" s="15"/>
      <c r="T99" s="32">
        <f>SUM(T96:T98)</f>
        <v>-680989.07646615384</v>
      </c>
      <c r="U99" s="15"/>
      <c r="V99" s="34">
        <f>IF(T$12=0,0,T99/T$12)</f>
        <v>-0.76895785508824954</v>
      </c>
      <c r="W99" s="17"/>
      <c r="X99" s="32">
        <f>+P99-T99</f>
        <v>714283.06646615348</v>
      </c>
      <c r="Y99" s="17"/>
      <c r="Z99" s="34">
        <f>IF(T99=0,0,X99/T99)</f>
        <v>-1.048890637384041</v>
      </c>
    </row>
    <row r="100" spans="1:26" ht="15" customHeight="1" x14ac:dyDescent="0.3">
      <c r="A100" s="10"/>
      <c r="C100" s="10"/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6">
        <v>44694.888552430559</v>
      </c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0" t="s">
        <v>298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1"/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1CD8-E7B9-3199-86CA-92528DBF5486}">
  <sheetPr>
    <tabColor rgb="FFFFC00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314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25067</v>
      </c>
      <c r="E12" s="5"/>
      <c r="F12" s="13"/>
      <c r="G12" s="5"/>
      <c r="H12" s="5">
        <f>SUM(OSRRefH13x_0)</f>
        <v>42444</v>
      </c>
      <c r="I12" s="5"/>
      <c r="J12" s="13"/>
      <c r="K12" s="5"/>
      <c r="L12" s="5">
        <f>+D12-H12</f>
        <v>-17377</v>
      </c>
      <c r="M12" s="5"/>
      <c r="N12" s="13">
        <f>IF(H12=0,0,L12/H12)</f>
        <v>-0.40941004617849402</v>
      </c>
      <c r="O12" s="11"/>
      <c r="P12" s="5">
        <f>SUM(OSRRefP13x_0)</f>
        <v>399472</v>
      </c>
      <c r="Q12" s="5"/>
      <c r="R12" s="13"/>
      <c r="S12" s="5"/>
      <c r="T12" s="5">
        <f>SUM(OSRRefT13x_0)</f>
        <v>524903</v>
      </c>
      <c r="U12" s="5"/>
      <c r="V12" s="13"/>
      <c r="W12" s="5"/>
      <c r="X12" s="5">
        <f>+P12-T12</f>
        <v>-125431</v>
      </c>
      <c r="Y12" s="5"/>
      <c r="Z12" s="13">
        <f>IF(T12=0,0,X12/T12)</f>
        <v>-0.23896034124400128</v>
      </c>
    </row>
    <row r="13" spans="1:26" s="70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--25067</f>
        <v>25067</v>
      </c>
      <c r="E13" s="3"/>
      <c r="F13" s="20"/>
      <c r="G13" s="3"/>
      <c r="H13" s="3">
        <v>42444</v>
      </c>
      <c r="I13" s="3"/>
      <c r="J13" s="20"/>
      <c r="K13" s="3"/>
      <c r="L13" s="3">
        <f>+D13-H13</f>
        <v>-17377</v>
      </c>
      <c r="M13" s="3"/>
      <c r="N13" s="20">
        <f>IF(H13=0,0,L13/H13)</f>
        <v>-0.40941004617849402</v>
      </c>
      <c r="O13" s="12"/>
      <c r="P13" s="3">
        <f>--399472</f>
        <v>399472</v>
      </c>
      <c r="Q13" s="3"/>
      <c r="R13" s="20"/>
      <c r="S13" s="3"/>
      <c r="T13" s="3">
        <v>524903</v>
      </c>
      <c r="U13" s="3"/>
      <c r="V13" s="20"/>
      <c r="W13" s="3"/>
      <c r="X13" s="3">
        <f>+P13-T13</f>
        <v>-125431</v>
      </c>
      <c r="Y13" s="3"/>
      <c r="Z13" s="20">
        <f>IF(T13=0,0,X13/T13)</f>
        <v>-0.23896034124400128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3">
      <c r="A15" s="11"/>
      <c r="B15" s="28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7" t="s">
        <v>289</v>
      </c>
      <c r="C17" s="27"/>
      <c r="D17" s="21">
        <f>D12-D15</f>
        <v>25067</v>
      </c>
      <c r="E17" s="15"/>
      <c r="F17" s="23">
        <f>IF(D$12=0,0,D17/D$12)</f>
        <v>1</v>
      </c>
      <c r="G17" s="15"/>
      <c r="H17" s="21">
        <f>H12-H15</f>
        <v>42444</v>
      </c>
      <c r="I17" s="15"/>
      <c r="J17" s="23">
        <f>IF(H$12=0,0,H17/H$12)</f>
        <v>1</v>
      </c>
      <c r="K17" s="17"/>
      <c r="L17" s="21">
        <f>+D17-H17</f>
        <v>-17377</v>
      </c>
      <c r="M17" s="17"/>
      <c r="N17" s="23">
        <f>IF(H17=0,0,L17/H17)</f>
        <v>-0.40941004617849402</v>
      </c>
      <c r="O17" s="28"/>
      <c r="P17" s="21">
        <f>P12-P15</f>
        <v>399472</v>
      </c>
      <c r="Q17" s="15"/>
      <c r="R17" s="23">
        <f>IF(P$12=0,0,P17/P$12)</f>
        <v>1</v>
      </c>
      <c r="S17" s="15"/>
      <c r="T17" s="21">
        <f>T12-T15</f>
        <v>524903</v>
      </c>
      <c r="U17" s="15"/>
      <c r="V17" s="23">
        <f>IF(T$12=0,0,T17/T$12)</f>
        <v>1</v>
      </c>
      <c r="W17" s="17"/>
      <c r="X17" s="21">
        <f>+P17-T17</f>
        <v>-125431</v>
      </c>
      <c r="Y17" s="17"/>
      <c r="Z17" s="23">
        <f>IF(T17=0,0,X17/T17)</f>
        <v>-0.23896034124400128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8" t="s">
        <v>290</v>
      </c>
      <c r="C19" s="11"/>
      <c r="D19" s="22" cm="1">
        <f t="array" ref="D19">SUM(OSRRefD22x_0)</f>
        <v>25275.95</v>
      </c>
      <c r="E19" s="22"/>
      <c r="F19" s="33">
        <f t="shared" ref="F19:F50" si="0">IF(D$12=0,0,D19/D$12)</f>
        <v>1.0083356604300475</v>
      </c>
      <c r="G19" s="22"/>
      <c r="H19" s="22" cm="1">
        <f t="array" ref="H19">SUM(OSRRefH22x_0)</f>
        <v>40506.40276147212</v>
      </c>
      <c r="I19" s="22"/>
      <c r="J19" s="33">
        <f t="shared" ref="J19:J50" si="1">IF(H$12=0,0,H19/H$12)</f>
        <v>0.95434932526322025</v>
      </c>
      <c r="K19" s="5"/>
      <c r="L19" s="22">
        <f t="shared" ref="L19:L50" si="2">+D19-H19</f>
        <v>-15230.452761472119</v>
      </c>
      <c r="M19" s="5"/>
      <c r="N19" s="33">
        <f t="shared" ref="N19:N50" si="3">IF(H19=0,0,L19/H19)</f>
        <v>-0.37600111891344362</v>
      </c>
      <c r="O19" s="11"/>
      <c r="P19" s="22" cm="1">
        <f t="array" ref="P19">SUM(OSRRefP22x_0)</f>
        <v>366004.61</v>
      </c>
      <c r="Q19" s="22"/>
      <c r="R19" s="33">
        <f t="shared" ref="R19:R50" si="4">IF(P$12=0,0,P19/P$12)</f>
        <v>0.91622093663635995</v>
      </c>
      <c r="S19" s="22"/>
      <c r="T19" s="22" cm="1">
        <f t="array" ref="T19">SUM(OSRRefT22x_0)</f>
        <v>495256.11253595457</v>
      </c>
      <c r="U19" s="22"/>
      <c r="V19" s="33">
        <f t="shared" ref="V19:V50" si="5">IF(T$12=0,0,T19/T$12)</f>
        <v>0.94351930268250428</v>
      </c>
      <c r="W19" s="5"/>
      <c r="X19" s="22">
        <f t="shared" ref="X19:X50" si="6">+P19-T19</f>
        <v>-129251.50253595458</v>
      </c>
      <c r="Y19" s="5"/>
      <c r="Z19" s="33">
        <f t="shared" ref="Z19:Z50" si="7">IF(T19=0,0,X19/T19)</f>
        <v>-0.26097911618722563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5219.9399999999987</v>
      </c>
      <c r="E20" s="2"/>
      <c r="F20" s="6">
        <f t="shared" si="0"/>
        <v>0.2082395180915147</v>
      </c>
      <c r="G20" s="2"/>
      <c r="H20" s="2">
        <f>SUM(OSRRefH22_0x_0)</f>
        <v>3889.6049585875021</v>
      </c>
      <c r="I20" s="2"/>
      <c r="J20" s="6">
        <f t="shared" si="1"/>
        <v>9.1640866991506503E-2</v>
      </c>
      <c r="K20" s="2"/>
      <c r="L20" s="2">
        <f t="shared" si="2"/>
        <v>1330.3350414124966</v>
      </c>
      <c r="M20" s="2"/>
      <c r="N20" s="6">
        <f t="shared" si="3"/>
        <v>0.3420231760234087</v>
      </c>
      <c r="O20" s="14"/>
      <c r="P20" s="2">
        <f>SUM(OSRRefP22_0x_0)</f>
        <v>42342.96</v>
      </c>
      <c r="Q20" s="2"/>
      <c r="R20" s="6">
        <f t="shared" si="4"/>
        <v>0.1059973164577242</v>
      </c>
      <c r="S20" s="2"/>
      <c r="T20" s="2">
        <f>SUM(OSRRefT22_0x_0)</f>
        <v>37644.691870570008</v>
      </c>
      <c r="U20" s="2"/>
      <c r="V20" s="6">
        <f t="shared" si="5"/>
        <v>7.171742563972773E-2</v>
      </c>
      <c r="W20" s="2"/>
      <c r="X20" s="2">
        <f t="shared" si="6"/>
        <v>4698.2681294299909</v>
      </c>
      <c r="Y20" s="2"/>
      <c r="Z20" s="6">
        <f t="shared" si="7"/>
        <v>0.12480559398875087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7">
        <v>1347.61</v>
      </c>
      <c r="E21" s="3"/>
      <c r="F21" s="8">
        <f t="shared" si="0"/>
        <v>5.3760322336139144E-2</v>
      </c>
      <c r="G21" s="3"/>
      <c r="H21" s="7">
        <v>841.49147984711601</v>
      </c>
      <c r="I21" s="3"/>
      <c r="J21" s="8">
        <f t="shared" si="1"/>
        <v>1.9825923095069174E-2</v>
      </c>
      <c r="K21" s="3"/>
      <c r="L21" s="7">
        <f t="shared" si="2"/>
        <v>506.11852015288389</v>
      </c>
      <c r="M21" s="3"/>
      <c r="N21" s="8">
        <f t="shared" si="3"/>
        <v>0.60145412315385127</v>
      </c>
      <c r="O21" s="12"/>
      <c r="P21" s="7">
        <v>10522.56</v>
      </c>
      <c r="Q21" s="3"/>
      <c r="R21" s="8">
        <f t="shared" si="4"/>
        <v>2.6341170344855207E-2</v>
      </c>
      <c r="S21" s="3"/>
      <c r="T21" s="7">
        <v>9353.9997376546198</v>
      </c>
      <c r="U21" s="3"/>
      <c r="V21" s="8">
        <f t="shared" si="5"/>
        <v>1.7820434894932246E-2</v>
      </c>
      <c r="W21" s="3"/>
      <c r="X21" s="7">
        <f t="shared" si="6"/>
        <v>1168.5602623453797</v>
      </c>
      <c r="Y21" s="3"/>
      <c r="Z21" s="8">
        <f t="shared" si="7"/>
        <v>0.12492626631592993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7">
        <v>190.88</v>
      </c>
      <c r="E22" s="3"/>
      <c r="F22" s="8">
        <f t="shared" si="0"/>
        <v>7.6147923564846209E-3</v>
      </c>
      <c r="G22" s="3"/>
      <c r="H22" s="7">
        <v>371.76479549999999</v>
      </c>
      <c r="I22" s="3"/>
      <c r="J22" s="8">
        <f t="shared" si="1"/>
        <v>8.758948155216285E-3</v>
      </c>
      <c r="K22" s="3"/>
      <c r="L22" s="7">
        <f t="shared" si="2"/>
        <v>-180.8847955</v>
      </c>
      <c r="M22" s="3"/>
      <c r="N22" s="8">
        <f t="shared" si="3"/>
        <v>-0.48655708579593032</v>
      </c>
      <c r="O22" s="12"/>
      <c r="P22" s="7">
        <v>1698.32</v>
      </c>
      <c r="Q22" s="3"/>
      <c r="R22" s="8">
        <f t="shared" si="4"/>
        <v>4.2514118636600307E-3</v>
      </c>
      <c r="S22" s="3"/>
      <c r="T22" s="7">
        <v>3350.1167604000002</v>
      </c>
      <c r="U22" s="3"/>
      <c r="V22" s="8">
        <f t="shared" si="5"/>
        <v>6.3823539975957468E-3</v>
      </c>
      <c r="W22" s="3"/>
      <c r="X22" s="7">
        <f t="shared" si="6"/>
        <v>-1651.7967604000003</v>
      </c>
      <c r="Y22" s="3"/>
      <c r="Z22" s="8">
        <f t="shared" si="7"/>
        <v>-0.49305647490410981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7">
        <v>964.7</v>
      </c>
      <c r="E23" s="3"/>
      <c r="F23" s="8">
        <f t="shared" si="0"/>
        <v>3.8484860573662585E-2</v>
      </c>
      <c r="G23" s="3"/>
      <c r="H23" s="7">
        <v>1022.5</v>
      </c>
      <c r="I23" s="3"/>
      <c r="J23" s="8">
        <f t="shared" si="1"/>
        <v>2.4090566393365376E-2</v>
      </c>
      <c r="K23" s="3"/>
      <c r="L23" s="7">
        <f t="shared" si="2"/>
        <v>-57.799999999999955</v>
      </c>
      <c r="M23" s="3"/>
      <c r="N23" s="8">
        <f t="shared" si="3"/>
        <v>-5.6528117359413162E-2</v>
      </c>
      <c r="O23" s="12"/>
      <c r="P23" s="7">
        <v>10184.9</v>
      </c>
      <c r="Q23" s="3"/>
      <c r="R23" s="8">
        <f t="shared" si="4"/>
        <v>2.5495904594064162E-2</v>
      </c>
      <c r="S23" s="3"/>
      <c r="T23" s="7">
        <v>10225</v>
      </c>
      <c r="U23" s="3"/>
      <c r="V23" s="8">
        <f t="shared" si="5"/>
        <v>1.9479789599221191E-2</v>
      </c>
      <c r="W23" s="3"/>
      <c r="X23" s="7">
        <f t="shared" si="6"/>
        <v>-40.100000000000364</v>
      </c>
      <c r="Y23" s="3"/>
      <c r="Z23" s="8">
        <f t="shared" si="7"/>
        <v>-3.9217603911980798E-3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37.200000000000003</v>
      </c>
      <c r="E24" s="3"/>
      <c r="F24" s="8">
        <f t="shared" si="0"/>
        <v>1.4840228188454942E-3</v>
      </c>
      <c r="G24" s="3"/>
      <c r="H24" s="7">
        <v>50.045260932692301</v>
      </c>
      <c r="I24" s="3"/>
      <c r="J24" s="8">
        <f t="shared" si="1"/>
        <v>1.1790891747406535E-3</v>
      </c>
      <c r="K24" s="3"/>
      <c r="L24" s="7">
        <f t="shared" si="2"/>
        <v>-12.845260932692298</v>
      </c>
      <c r="M24" s="3"/>
      <c r="N24" s="8">
        <f t="shared" si="3"/>
        <v>-0.25667287358074442</v>
      </c>
      <c r="O24" s="12"/>
      <c r="P24" s="7">
        <v>335.4</v>
      </c>
      <c r="Q24" s="3"/>
      <c r="R24" s="8">
        <f t="shared" si="4"/>
        <v>8.3960828293347216E-4</v>
      </c>
      <c r="S24" s="3"/>
      <c r="T24" s="7">
        <v>450.97725620769199</v>
      </c>
      <c r="U24" s="3"/>
      <c r="V24" s="8">
        <f t="shared" si="5"/>
        <v>8.5916303813788827E-4</v>
      </c>
      <c r="W24" s="3"/>
      <c r="X24" s="7">
        <f t="shared" si="6"/>
        <v>-115.57725620769202</v>
      </c>
      <c r="Y24" s="3"/>
      <c r="Z24" s="8">
        <f t="shared" si="7"/>
        <v>-0.25628178498310866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7">
        <v>914.5</v>
      </c>
      <c r="E25" s="3"/>
      <c r="F25" s="8">
        <f t="shared" si="0"/>
        <v>3.6482227629951729E-2</v>
      </c>
      <c r="G25" s="3"/>
      <c r="H25" s="7">
        <v>721.15959057692396</v>
      </c>
      <c r="I25" s="3"/>
      <c r="J25" s="8">
        <f t="shared" si="1"/>
        <v>1.699084889682697E-2</v>
      </c>
      <c r="K25" s="3"/>
      <c r="L25" s="7">
        <f t="shared" si="2"/>
        <v>193.34040942307604</v>
      </c>
      <c r="M25" s="3"/>
      <c r="N25" s="8">
        <f t="shared" si="3"/>
        <v>0.26809656551666283</v>
      </c>
      <c r="O25" s="12"/>
      <c r="P25" s="7">
        <v>6645.61</v>
      </c>
      <c r="Q25" s="3"/>
      <c r="R25" s="8">
        <f t="shared" si="4"/>
        <v>1.6635984499539392E-2</v>
      </c>
      <c r="S25" s="3"/>
      <c r="T25" s="7">
        <v>6346.20439707693</v>
      </c>
      <c r="U25" s="3"/>
      <c r="V25" s="8">
        <f t="shared" si="5"/>
        <v>1.2090242191560975E-2</v>
      </c>
      <c r="W25" s="3"/>
      <c r="X25" s="7">
        <f t="shared" si="6"/>
        <v>299.40560292306964</v>
      </c>
      <c r="Y25" s="3"/>
      <c r="Z25" s="8">
        <f t="shared" si="7"/>
        <v>4.7178688896464829E-2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7">
        <v>60</v>
      </c>
      <c r="E27" s="3"/>
      <c r="F27" s="8">
        <f t="shared" si="0"/>
        <v>2.3935851916862807E-3</v>
      </c>
      <c r="G27" s="3"/>
      <c r="H27" s="7"/>
      <c r="I27" s="3"/>
      <c r="J27" s="8">
        <f t="shared" si="1"/>
        <v>0</v>
      </c>
      <c r="K27" s="3"/>
      <c r="L27" s="7">
        <f t="shared" si="2"/>
        <v>60</v>
      </c>
      <c r="M27" s="3"/>
      <c r="N27" s="8">
        <f t="shared" si="3"/>
        <v>0</v>
      </c>
      <c r="O27" s="12"/>
      <c r="P27" s="7">
        <v>275.14999999999998</v>
      </c>
      <c r="Q27" s="3"/>
      <c r="R27" s="8">
        <f t="shared" si="4"/>
        <v>6.8878419513758156E-4</v>
      </c>
      <c r="S27" s="3"/>
      <c r="T27" s="7"/>
      <c r="U27" s="3"/>
      <c r="V27" s="8">
        <f t="shared" si="5"/>
        <v>0</v>
      </c>
      <c r="W27" s="3"/>
      <c r="X27" s="7">
        <f t="shared" si="6"/>
        <v>275.14999999999998</v>
      </c>
      <c r="Y27" s="3"/>
      <c r="Z27" s="8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7">
        <v>925.81</v>
      </c>
      <c r="E28" s="3"/>
      <c r="F28" s="8">
        <f t="shared" si="0"/>
        <v>3.6933418438584588E-2</v>
      </c>
      <c r="G28" s="3"/>
      <c r="H28" s="7">
        <v>251.56729903846201</v>
      </c>
      <c r="I28" s="3"/>
      <c r="J28" s="8">
        <f t="shared" si="1"/>
        <v>5.9270403128466216E-3</v>
      </c>
      <c r="K28" s="3"/>
      <c r="L28" s="7">
        <f t="shared" si="2"/>
        <v>674.24270096153793</v>
      </c>
      <c r="M28" s="3"/>
      <c r="N28" s="8">
        <f t="shared" si="3"/>
        <v>2.6801683030291361</v>
      </c>
      <c r="O28" s="12"/>
      <c r="P28" s="7">
        <v>6826.85</v>
      </c>
      <c r="Q28" s="3"/>
      <c r="R28" s="8">
        <f t="shared" si="4"/>
        <v>1.7089683382064326E-2</v>
      </c>
      <c r="S28" s="3"/>
      <c r="T28" s="7">
        <v>2213.7922315384599</v>
      </c>
      <c r="U28" s="3"/>
      <c r="V28" s="8">
        <f t="shared" si="5"/>
        <v>4.2175263458933557E-3</v>
      </c>
      <c r="W28" s="3"/>
      <c r="X28" s="7">
        <f t="shared" si="6"/>
        <v>4613.05776846154</v>
      </c>
      <c r="Y28" s="3"/>
      <c r="Z28" s="8">
        <f t="shared" si="7"/>
        <v>2.0837808095729593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7">
        <v>588.70000000000005</v>
      </c>
      <c r="E29" s="3"/>
      <c r="F29" s="8">
        <f t="shared" si="0"/>
        <v>2.3485060039095226E-2</v>
      </c>
      <c r="G29" s="3"/>
      <c r="H29" s="7">
        <v>631.07653269230798</v>
      </c>
      <c r="I29" s="3"/>
      <c r="J29" s="8">
        <f t="shared" si="1"/>
        <v>1.4868450963441427E-2</v>
      </c>
      <c r="K29" s="3"/>
      <c r="L29" s="7">
        <f t="shared" si="2"/>
        <v>-42.376532692307933</v>
      </c>
      <c r="M29" s="3"/>
      <c r="N29" s="8">
        <f t="shared" si="3"/>
        <v>-6.7149593586566345E-2</v>
      </c>
      <c r="O29" s="12"/>
      <c r="P29" s="7">
        <v>5087.38</v>
      </c>
      <c r="Q29" s="3"/>
      <c r="R29" s="8">
        <f t="shared" si="4"/>
        <v>1.2735260543917971E-2</v>
      </c>
      <c r="S29" s="3"/>
      <c r="T29" s="7">
        <v>5704.60148769231</v>
      </c>
      <c r="U29" s="3"/>
      <c r="V29" s="8">
        <f t="shared" si="5"/>
        <v>1.0867915572386345E-2</v>
      </c>
      <c r="W29" s="3"/>
      <c r="X29" s="7">
        <f t="shared" si="6"/>
        <v>-617.22148769230989</v>
      </c>
      <c r="Y29" s="3"/>
      <c r="Z29" s="8">
        <f t="shared" si="7"/>
        <v>-0.10819712630653808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190.54</v>
      </c>
      <c r="E30" s="3"/>
      <c r="F30" s="8">
        <f t="shared" si="0"/>
        <v>7.6012287070650652E-3</v>
      </c>
      <c r="G30" s="3"/>
      <c r="H30" s="7"/>
      <c r="I30" s="3"/>
      <c r="J30" s="8">
        <f t="shared" si="1"/>
        <v>0</v>
      </c>
      <c r="K30" s="3"/>
      <c r="L30" s="7">
        <f t="shared" si="2"/>
        <v>190.54</v>
      </c>
      <c r="M30" s="3"/>
      <c r="N30" s="8">
        <f t="shared" si="3"/>
        <v>0</v>
      </c>
      <c r="O30" s="12"/>
      <c r="P30" s="7">
        <v>766.79</v>
      </c>
      <c r="Q30" s="3"/>
      <c r="R30" s="8">
        <f t="shared" si="4"/>
        <v>1.9195087515520486E-3</v>
      </c>
      <c r="S30" s="3"/>
      <c r="T30" s="7"/>
      <c r="U30" s="3"/>
      <c r="V30" s="8">
        <f t="shared" si="5"/>
        <v>0</v>
      </c>
      <c r="W30" s="3"/>
      <c r="X30" s="7">
        <f t="shared" si="6"/>
        <v>766.79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18557.16</v>
      </c>
      <c r="E31" s="2"/>
      <c r="F31" s="6">
        <f t="shared" si="0"/>
        <v>0.74030238959588301</v>
      </c>
      <c r="G31" s="2"/>
      <c r="H31" s="2">
        <f>SUM(OSRRefH22_1x_0)</f>
        <v>23411.797802884619</v>
      </c>
      <c r="I31" s="2"/>
      <c r="J31" s="6">
        <f t="shared" si="1"/>
        <v>0.55159263506937661</v>
      </c>
      <c r="K31" s="2"/>
      <c r="L31" s="2">
        <f t="shared" si="2"/>
        <v>-4854.6378028846193</v>
      </c>
      <c r="M31" s="2"/>
      <c r="N31" s="6">
        <f t="shared" si="3"/>
        <v>-0.20735860798722894</v>
      </c>
      <c r="O31" s="14"/>
      <c r="P31" s="2">
        <f>SUM(OSRRefP22_1x_0)</f>
        <v>147822.22999999998</v>
      </c>
      <c r="Q31" s="2"/>
      <c r="R31" s="6">
        <f t="shared" si="4"/>
        <v>0.37004403312372325</v>
      </c>
      <c r="S31" s="2"/>
      <c r="T31" s="2">
        <f>SUM(OSRRefT22_1x_0)</f>
        <v>211061.42066538462</v>
      </c>
      <c r="U31" s="2"/>
      <c r="V31" s="6">
        <f t="shared" si="5"/>
        <v>0.40209604567964868</v>
      </c>
      <c r="W31" s="2"/>
      <c r="X31" s="2">
        <f t="shared" si="6"/>
        <v>-63239.190665384638</v>
      </c>
      <c r="Y31" s="2"/>
      <c r="Z31" s="6">
        <f t="shared" si="7"/>
        <v>-0.29962458542171777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5589.48</v>
      </c>
      <c r="E32" s="3"/>
      <c r="F32" s="8">
        <f t="shared" si="0"/>
        <v>0.22298160928711053</v>
      </c>
      <c r="G32" s="3"/>
      <c r="H32" s="7">
        <v>5174.7596153846198</v>
      </c>
      <c r="I32" s="3"/>
      <c r="J32" s="8">
        <f t="shared" si="1"/>
        <v>0.1219196969037937</v>
      </c>
      <c r="K32" s="3"/>
      <c r="L32" s="7">
        <f t="shared" si="2"/>
        <v>414.72038461537977</v>
      </c>
      <c r="M32" s="3"/>
      <c r="N32" s="8">
        <f t="shared" si="3"/>
        <v>8.0142927486411414E-2</v>
      </c>
      <c r="O32" s="12"/>
      <c r="P32" s="7">
        <v>47666.58</v>
      </c>
      <c r="Q32" s="3"/>
      <c r="R32" s="8">
        <f t="shared" si="4"/>
        <v>0.11932395762406377</v>
      </c>
      <c r="S32" s="3"/>
      <c r="T32" s="7">
        <v>45537.884615384603</v>
      </c>
      <c r="U32" s="3"/>
      <c r="V32" s="8">
        <f t="shared" si="5"/>
        <v>8.6754856831423338E-2</v>
      </c>
      <c r="W32" s="3"/>
      <c r="X32" s="7">
        <f t="shared" si="6"/>
        <v>2128.6953846153992</v>
      </c>
      <c r="Y32" s="3"/>
      <c r="Z32" s="8">
        <f t="shared" si="7"/>
        <v>4.6745592216117939E-2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2040</v>
      </c>
      <c r="E33" s="3"/>
      <c r="F33" s="8">
        <f t="shared" si="0"/>
        <v>8.1381896517333546E-2</v>
      </c>
      <c r="G33" s="3"/>
      <c r="H33" s="7">
        <v>2791.5381874999998</v>
      </c>
      <c r="I33" s="3"/>
      <c r="J33" s="8">
        <f t="shared" si="1"/>
        <v>6.576991300301574E-2</v>
      </c>
      <c r="K33" s="3"/>
      <c r="L33" s="7">
        <f t="shared" si="2"/>
        <v>-751.53818749999982</v>
      </c>
      <c r="M33" s="3"/>
      <c r="N33" s="8">
        <f t="shared" si="3"/>
        <v>-0.26922009910709843</v>
      </c>
      <c r="O33" s="12"/>
      <c r="P33" s="7">
        <v>18624.57</v>
      </c>
      <c r="Q33" s="3"/>
      <c r="R33" s="8">
        <f t="shared" si="4"/>
        <v>4.6622967316858249E-2</v>
      </c>
      <c r="S33" s="3"/>
      <c r="T33" s="7">
        <v>24565.536049999999</v>
      </c>
      <c r="U33" s="3"/>
      <c r="V33" s="8">
        <f t="shared" si="5"/>
        <v>4.6800144121866324E-2</v>
      </c>
      <c r="W33" s="3"/>
      <c r="X33" s="7">
        <f t="shared" si="6"/>
        <v>-5940.9660499999991</v>
      </c>
      <c r="Y33" s="3"/>
      <c r="Z33" s="8">
        <f t="shared" si="7"/>
        <v>-0.24184149850863929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2481.75</v>
      </c>
      <c r="E35" s="3"/>
      <c r="F35" s="8">
        <f t="shared" si="0"/>
        <v>9.9004667491123785E-2</v>
      </c>
      <c r="G35" s="3"/>
      <c r="H35" s="7">
        <v>2610</v>
      </c>
      <c r="I35" s="3"/>
      <c r="J35" s="8">
        <f t="shared" si="1"/>
        <v>6.149279050042409E-2</v>
      </c>
      <c r="K35" s="3"/>
      <c r="L35" s="7">
        <f t="shared" si="2"/>
        <v>-128.25</v>
      </c>
      <c r="M35" s="3"/>
      <c r="N35" s="8">
        <f t="shared" si="3"/>
        <v>-4.913793103448276E-2</v>
      </c>
      <c r="O35" s="12"/>
      <c r="P35" s="7">
        <v>13322.22</v>
      </c>
      <c r="Q35" s="3"/>
      <c r="R35" s="8">
        <f t="shared" si="4"/>
        <v>3.3349571434293263E-2</v>
      </c>
      <c r="S35" s="3"/>
      <c r="T35" s="7">
        <v>22446</v>
      </c>
      <c r="U35" s="3"/>
      <c r="V35" s="8">
        <f t="shared" si="5"/>
        <v>4.2762186537322132E-2</v>
      </c>
      <c r="W35" s="3"/>
      <c r="X35" s="7">
        <f t="shared" si="6"/>
        <v>-9123.7800000000007</v>
      </c>
      <c r="Y35" s="3"/>
      <c r="Z35" s="8">
        <f t="shared" si="7"/>
        <v>-0.40647687784014974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5524.33</v>
      </c>
      <c r="E36" s="3"/>
      <c r="F36" s="8">
        <f t="shared" si="0"/>
        <v>0.22038257469980452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5524.33</v>
      </c>
      <c r="M36" s="3"/>
      <c r="N36" s="8">
        <f t="shared" si="3"/>
        <v>0</v>
      </c>
      <c r="O36" s="12"/>
      <c r="P36" s="7">
        <v>53895.56</v>
      </c>
      <c r="Q36" s="3"/>
      <c r="R36" s="8">
        <f t="shared" si="4"/>
        <v>0.1349169904273641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53895.56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2921.6</v>
      </c>
      <c r="E38" s="3"/>
      <c r="F38" s="8">
        <f t="shared" si="0"/>
        <v>0.11655164160051062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2921.6</v>
      </c>
      <c r="M38" s="3"/>
      <c r="N38" s="8">
        <f t="shared" si="3"/>
        <v>0</v>
      </c>
      <c r="O38" s="12"/>
      <c r="P38" s="7">
        <v>14149.08</v>
      </c>
      <c r="Q38" s="3"/>
      <c r="R38" s="8">
        <f t="shared" si="4"/>
        <v>3.5419453678856093E-2</v>
      </c>
      <c r="S38" s="3"/>
      <c r="T38" s="7">
        <v>25987.5</v>
      </c>
      <c r="U38" s="3"/>
      <c r="V38" s="8">
        <f t="shared" si="5"/>
        <v>4.950914740437757E-2</v>
      </c>
      <c r="W38" s="3"/>
      <c r="X38" s="7">
        <f t="shared" si="6"/>
        <v>-11838.42</v>
      </c>
      <c r="Y38" s="3"/>
      <c r="Z38" s="8">
        <f t="shared" si="7"/>
        <v>-0.45554285714285714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/>
      <c r="E39" s="3"/>
      <c r="F39" s="8">
        <f t="shared" si="0"/>
        <v>0</v>
      </c>
      <c r="G39" s="3"/>
      <c r="H39" s="7">
        <v>12835.5</v>
      </c>
      <c r="I39" s="3"/>
      <c r="J39" s="8">
        <f t="shared" si="1"/>
        <v>0.30241023466214306</v>
      </c>
      <c r="K39" s="3"/>
      <c r="L39" s="7">
        <f t="shared" si="2"/>
        <v>-12835.5</v>
      </c>
      <c r="M39" s="3"/>
      <c r="N39" s="8">
        <f t="shared" si="3"/>
        <v>-1</v>
      </c>
      <c r="O39" s="12"/>
      <c r="P39" s="7">
        <v>164.22</v>
      </c>
      <c r="Q39" s="3"/>
      <c r="R39" s="8">
        <f t="shared" si="4"/>
        <v>4.1109264228781994E-4</v>
      </c>
      <c r="S39" s="3"/>
      <c r="T39" s="7">
        <v>92524.5</v>
      </c>
      <c r="U39" s="3"/>
      <c r="V39" s="8">
        <f t="shared" si="5"/>
        <v>0.17626971078465925</v>
      </c>
      <c r="W39" s="3"/>
      <c r="X39" s="7">
        <f t="shared" si="6"/>
        <v>-92360.28</v>
      </c>
      <c r="Y39" s="3"/>
      <c r="Z39" s="8">
        <f t="shared" si="7"/>
        <v>-0.99822511875233044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100</v>
      </c>
      <c r="I42" s="2"/>
      <c r="J42" s="6">
        <f t="shared" si="1"/>
        <v>2.3560456130430683E-3</v>
      </c>
      <c r="K42" s="2"/>
      <c r="L42" s="2">
        <f t="shared" si="2"/>
        <v>-100</v>
      </c>
      <c r="M42" s="2"/>
      <c r="N42" s="6">
        <f t="shared" si="3"/>
        <v>-1</v>
      </c>
      <c r="O42" s="14"/>
      <c r="P42" s="2">
        <f>SUM(OSRRefP22_2x_0)</f>
        <v>251.18</v>
      </c>
      <c r="Q42" s="2"/>
      <c r="R42" s="6">
        <f t="shared" si="4"/>
        <v>6.2877998958625386E-4</v>
      </c>
      <c r="S42" s="2"/>
      <c r="T42" s="2">
        <f>SUM(OSRRefT22_2x_0)</f>
        <v>1000</v>
      </c>
      <c r="U42" s="2"/>
      <c r="V42" s="6">
        <f t="shared" si="5"/>
        <v>1.9051138972343462E-3</v>
      </c>
      <c r="W42" s="2"/>
      <c r="X42" s="2">
        <f t="shared" si="6"/>
        <v>-748.81999999999994</v>
      </c>
      <c r="Y42" s="2"/>
      <c r="Z42" s="6">
        <f t="shared" si="7"/>
        <v>-0.74881999999999993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/>
      <c r="E43" s="3"/>
      <c r="F43" s="8">
        <f t="shared" si="0"/>
        <v>0</v>
      </c>
      <c r="G43" s="3"/>
      <c r="H43" s="7">
        <v>100</v>
      </c>
      <c r="I43" s="3"/>
      <c r="J43" s="8">
        <f t="shared" si="1"/>
        <v>2.3560456130430683E-3</v>
      </c>
      <c r="K43" s="3"/>
      <c r="L43" s="7">
        <f t="shared" si="2"/>
        <v>-100</v>
      </c>
      <c r="M43" s="3"/>
      <c r="N43" s="8">
        <f t="shared" si="3"/>
        <v>-1</v>
      </c>
      <c r="O43" s="12"/>
      <c r="P43" s="7">
        <v>251.18</v>
      </c>
      <c r="Q43" s="3"/>
      <c r="R43" s="8">
        <f t="shared" si="4"/>
        <v>6.2877998958625386E-4</v>
      </c>
      <c r="S43" s="3"/>
      <c r="T43" s="7">
        <v>1000</v>
      </c>
      <c r="U43" s="3"/>
      <c r="V43" s="8">
        <f t="shared" si="5"/>
        <v>1.9051138972343462E-3</v>
      </c>
      <c r="W43" s="3"/>
      <c r="X43" s="7">
        <f t="shared" si="6"/>
        <v>-748.81999999999994</v>
      </c>
      <c r="Y43" s="3"/>
      <c r="Z43" s="8">
        <f t="shared" si="7"/>
        <v>-0.74881999999999993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579.9</v>
      </c>
      <c r="E44" s="2"/>
      <c r="F44" s="6">
        <f t="shared" si="0"/>
        <v>2.3134000877647904E-2</v>
      </c>
      <c r="G44" s="2"/>
      <c r="H44" s="2">
        <f>SUM(OSRRefH22_3x_0)</f>
        <v>1250</v>
      </c>
      <c r="I44" s="2"/>
      <c r="J44" s="6">
        <f t="shared" si="1"/>
        <v>2.9450570163038356E-2</v>
      </c>
      <c r="K44" s="2"/>
      <c r="L44" s="2">
        <f t="shared" si="2"/>
        <v>-670.1</v>
      </c>
      <c r="M44" s="2"/>
      <c r="N44" s="6">
        <f t="shared" si="3"/>
        <v>-0.53608</v>
      </c>
      <c r="O44" s="14"/>
      <c r="P44" s="2">
        <f>SUM(OSRRefP22_3x_0)</f>
        <v>4014.13</v>
      </c>
      <c r="Q44" s="2"/>
      <c r="R44" s="6">
        <f t="shared" si="4"/>
        <v>1.0048589137661714E-2</v>
      </c>
      <c r="S44" s="2"/>
      <c r="T44" s="2">
        <f>SUM(OSRRefT22_3x_0)</f>
        <v>12500</v>
      </c>
      <c r="U44" s="2"/>
      <c r="V44" s="6">
        <f t="shared" si="5"/>
        <v>2.3813923715429328E-2</v>
      </c>
      <c r="W44" s="2"/>
      <c r="X44" s="2">
        <f t="shared" si="6"/>
        <v>-8485.869999999999</v>
      </c>
      <c r="Y44" s="2"/>
      <c r="Z44" s="6">
        <f t="shared" si="7"/>
        <v>-0.67886959999999996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7">
        <v>579.9</v>
      </c>
      <c r="E45" s="3"/>
      <c r="F45" s="8">
        <f t="shared" si="0"/>
        <v>2.3134000877647904E-2</v>
      </c>
      <c r="G45" s="3"/>
      <c r="H45" s="7">
        <v>1250</v>
      </c>
      <c r="I45" s="3"/>
      <c r="J45" s="8">
        <f t="shared" si="1"/>
        <v>2.9450570163038356E-2</v>
      </c>
      <c r="K45" s="3"/>
      <c r="L45" s="7">
        <f t="shared" si="2"/>
        <v>-670.1</v>
      </c>
      <c r="M45" s="3"/>
      <c r="N45" s="8">
        <f t="shared" si="3"/>
        <v>-0.53608</v>
      </c>
      <c r="O45" s="12"/>
      <c r="P45" s="7">
        <v>4014.13</v>
      </c>
      <c r="Q45" s="3"/>
      <c r="R45" s="8">
        <f t="shared" si="4"/>
        <v>1.0048589137661714E-2</v>
      </c>
      <c r="S45" s="3"/>
      <c r="T45" s="7">
        <v>12500</v>
      </c>
      <c r="U45" s="3"/>
      <c r="V45" s="8">
        <f t="shared" si="5"/>
        <v>2.3813923715429328E-2</v>
      </c>
      <c r="W45" s="3"/>
      <c r="X45" s="7">
        <f t="shared" si="6"/>
        <v>-8485.869999999999</v>
      </c>
      <c r="Y45" s="3"/>
      <c r="Z45" s="8">
        <f t="shared" si="7"/>
        <v>-0.67886959999999996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4.7120912260861369E-4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200</v>
      </c>
      <c r="U46" s="2"/>
      <c r="V46" s="6">
        <f t="shared" si="5"/>
        <v>3.8102277944686926E-4</v>
      </c>
      <c r="W46" s="2"/>
      <c r="X46" s="2">
        <f t="shared" si="6"/>
        <v>-200</v>
      </c>
      <c r="Y46" s="2"/>
      <c r="Z46" s="6">
        <f t="shared" si="7"/>
        <v>-1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>
        <v>20</v>
      </c>
      <c r="I47" s="3"/>
      <c r="J47" s="8">
        <f t="shared" si="1"/>
        <v>4.7120912260861369E-4</v>
      </c>
      <c r="K47" s="3"/>
      <c r="L47" s="7">
        <f t="shared" si="2"/>
        <v>-20</v>
      </c>
      <c r="M47" s="3"/>
      <c r="N47" s="8">
        <f t="shared" si="3"/>
        <v>-1</v>
      </c>
      <c r="O47" s="12"/>
      <c r="P47" s="7"/>
      <c r="Q47" s="3"/>
      <c r="R47" s="8">
        <f t="shared" si="4"/>
        <v>0</v>
      </c>
      <c r="S47" s="3"/>
      <c r="T47" s="7">
        <v>200</v>
      </c>
      <c r="U47" s="3"/>
      <c r="V47" s="8">
        <f t="shared" si="5"/>
        <v>3.8102277944686926E-4</v>
      </c>
      <c r="W47" s="3"/>
      <c r="X47" s="7">
        <f t="shared" si="6"/>
        <v>-200</v>
      </c>
      <c r="Y47" s="3"/>
      <c r="Z47" s="8">
        <f t="shared" si="7"/>
        <v>-1</v>
      </c>
    </row>
    <row r="48" spans="1:26" s="69" customFormat="1" ht="15" customHeight="1" outlineLevel="1" collapsed="1" x14ac:dyDescent="0.3">
      <c r="A48" s="25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2.3560456130430684E-4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1.5520487042896624E-6</v>
      </c>
      <c r="S48" s="2"/>
      <c r="T48" s="2">
        <f>SUM(OSRRefT22_5x_0)</f>
        <v>100</v>
      </c>
      <c r="U48" s="2"/>
      <c r="V48" s="6">
        <f t="shared" si="5"/>
        <v>1.9051138972343463E-4</v>
      </c>
      <c r="W48" s="2"/>
      <c r="X48" s="2">
        <f t="shared" si="6"/>
        <v>-99.38</v>
      </c>
      <c r="Y48" s="2"/>
      <c r="Z48" s="6">
        <f t="shared" si="7"/>
        <v>-0.99379999999999991</v>
      </c>
    </row>
    <row r="49" spans="1:26" s="70" customFormat="1" ht="15" hidden="1" customHeight="1" outlineLevel="2" x14ac:dyDescent="0.3">
      <c r="A49" s="26"/>
      <c r="B49" s="12" t="str">
        <f>CONCATENATE("          ","6305"," - ","FREIGHT OUT")</f>
        <v xml:space="preserve">          6305 - FREIGHT OUT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0.62</v>
      </c>
      <c r="Q49" s="3"/>
      <c r="R49" s="8">
        <f t="shared" si="4"/>
        <v>1.5520487042896624E-6</v>
      </c>
      <c r="S49" s="3"/>
      <c r="T49" s="7"/>
      <c r="U49" s="3"/>
      <c r="V49" s="8">
        <f t="shared" si="5"/>
        <v>0</v>
      </c>
      <c r="W49" s="3"/>
      <c r="X49" s="7">
        <f t="shared" si="6"/>
        <v>0.62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","6307"," - ","POSTAGE")</f>
        <v xml:space="preserve">          6307 - POSTAGE</v>
      </c>
      <c r="C50" s="12"/>
      <c r="D50" s="7"/>
      <c r="E50" s="3"/>
      <c r="F50" s="8">
        <f t="shared" si="0"/>
        <v>0</v>
      </c>
      <c r="G50" s="3"/>
      <c r="H50" s="7">
        <v>10</v>
      </c>
      <c r="I50" s="3"/>
      <c r="J50" s="8">
        <f t="shared" si="1"/>
        <v>2.3560456130430684E-4</v>
      </c>
      <c r="K50" s="3"/>
      <c r="L50" s="7">
        <f t="shared" si="2"/>
        <v>-10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100</v>
      </c>
      <c r="U50" s="3"/>
      <c r="V50" s="8">
        <f t="shared" si="5"/>
        <v>1.9051138972343463E-4</v>
      </c>
      <c r="W50" s="3"/>
      <c r="X50" s="7">
        <f t="shared" si="6"/>
        <v>-100</v>
      </c>
      <c r="Y50" s="3"/>
      <c r="Z50" s="8">
        <f t="shared" si="7"/>
        <v>-1</v>
      </c>
    </row>
    <row r="51" spans="1:26" s="69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1.1780228065215342E-3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500</v>
      </c>
      <c r="U51" s="2"/>
      <c r="V51" s="6">
        <f t="shared" ref="V51:V70" si="13">IF(T$12=0,0,T51/T$12)</f>
        <v>9.5255694861717311E-4</v>
      </c>
      <c r="W51" s="2"/>
      <c r="X51" s="2">
        <f t="shared" ref="X51:X70" si="14">+P51-T51</f>
        <v>-500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7"/>
      <c r="E52" s="3"/>
      <c r="F52" s="8">
        <f t="shared" si="8"/>
        <v>0</v>
      </c>
      <c r="G52" s="3"/>
      <c r="H52" s="7">
        <v>50</v>
      </c>
      <c r="I52" s="3"/>
      <c r="J52" s="8">
        <f t="shared" si="9"/>
        <v>1.1780228065215342E-3</v>
      </c>
      <c r="K52" s="3"/>
      <c r="L52" s="7">
        <f t="shared" si="10"/>
        <v>-50</v>
      </c>
      <c r="M52" s="3"/>
      <c r="N52" s="8">
        <f t="shared" si="11"/>
        <v>-1</v>
      </c>
      <c r="O52" s="12"/>
      <c r="P52" s="7"/>
      <c r="Q52" s="3"/>
      <c r="R52" s="8">
        <f t="shared" si="12"/>
        <v>0</v>
      </c>
      <c r="S52" s="3"/>
      <c r="T52" s="7">
        <v>500</v>
      </c>
      <c r="U52" s="3"/>
      <c r="V52" s="8">
        <f t="shared" si="13"/>
        <v>9.5255694861717311E-4</v>
      </c>
      <c r="W52" s="3"/>
      <c r="X52" s="7">
        <f t="shared" si="14"/>
        <v>-500</v>
      </c>
      <c r="Y52" s="3"/>
      <c r="Z52" s="8">
        <f t="shared" si="15"/>
        <v>-1</v>
      </c>
    </row>
    <row r="53" spans="1:26" s="69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1.5729844018031675E-3</v>
      </c>
      <c r="G53" s="2"/>
      <c r="H53" s="2">
        <f>SUM(OSRRefH22_7x_0)</f>
        <v>40</v>
      </c>
      <c r="I53" s="2"/>
      <c r="J53" s="6">
        <f t="shared" si="9"/>
        <v>9.4241824521722737E-4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394.3</v>
      </c>
      <c r="Q53" s="2"/>
      <c r="R53" s="6">
        <f t="shared" si="12"/>
        <v>9.8705290984099007E-4</v>
      </c>
      <c r="S53" s="2"/>
      <c r="T53" s="2">
        <f>SUM(OSRRefT22_7x_0)</f>
        <v>400</v>
      </c>
      <c r="U53" s="2"/>
      <c r="V53" s="6">
        <f t="shared" si="13"/>
        <v>7.6204555889373851E-4</v>
      </c>
      <c r="W53" s="2"/>
      <c r="X53" s="2">
        <f t="shared" si="14"/>
        <v>-5.6999999999999886</v>
      </c>
      <c r="Y53" s="2"/>
      <c r="Z53" s="6">
        <f t="shared" si="15"/>
        <v>-1.4249999999999971E-2</v>
      </c>
    </row>
    <row r="54" spans="1:26" s="70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7">
        <v>39.43</v>
      </c>
      <c r="E54" s="3"/>
      <c r="F54" s="8">
        <f t="shared" si="8"/>
        <v>1.5729844018031675E-3</v>
      </c>
      <c r="G54" s="3"/>
      <c r="H54" s="7">
        <v>40</v>
      </c>
      <c r="I54" s="3"/>
      <c r="J54" s="8">
        <f t="shared" si="9"/>
        <v>9.4241824521722737E-4</v>
      </c>
      <c r="K54" s="3"/>
      <c r="L54" s="7">
        <f t="shared" si="10"/>
        <v>-0.57000000000000028</v>
      </c>
      <c r="M54" s="3"/>
      <c r="N54" s="8">
        <f t="shared" si="11"/>
        <v>-1.4250000000000007E-2</v>
      </c>
      <c r="O54" s="12"/>
      <c r="P54" s="7">
        <v>394.3</v>
      </c>
      <c r="Q54" s="3"/>
      <c r="R54" s="8">
        <f t="shared" si="12"/>
        <v>9.8705290984099007E-4</v>
      </c>
      <c r="S54" s="3"/>
      <c r="T54" s="7">
        <v>400</v>
      </c>
      <c r="U54" s="3"/>
      <c r="V54" s="8">
        <f t="shared" si="13"/>
        <v>7.6204555889373851E-4</v>
      </c>
      <c r="W54" s="3"/>
      <c r="X54" s="7">
        <f t="shared" si="14"/>
        <v>-5.6999999999999886</v>
      </c>
      <c r="Y54" s="3"/>
      <c r="Z54" s="8">
        <f t="shared" si="15"/>
        <v>-1.4249999999999971E-2</v>
      </c>
    </row>
    <row r="55" spans="1:26" s="69" customFormat="1" ht="15" customHeight="1" outlineLevel="1" collapsed="1" x14ac:dyDescent="0.3">
      <c r="A55" s="25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3.1914469222483741E-2</v>
      </c>
      <c r="G55" s="2"/>
      <c r="H55" s="2">
        <f>SUM(OSRRefH22_8x_0)</f>
        <v>800</v>
      </c>
      <c r="I55" s="2"/>
      <c r="J55" s="6">
        <f t="shared" si="9"/>
        <v>1.8848364904344547E-2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8000</v>
      </c>
      <c r="Q55" s="2"/>
      <c r="R55" s="6">
        <f t="shared" si="12"/>
        <v>2.0026434894060158E-2</v>
      </c>
      <c r="S55" s="2"/>
      <c r="T55" s="2">
        <f>SUM(OSRRefT22_8x_0)</f>
        <v>8000</v>
      </c>
      <c r="U55" s="2"/>
      <c r="V55" s="6">
        <f t="shared" si="13"/>
        <v>1.524091117787477E-2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3">
      <c r="A56" s="26"/>
      <c r="B56" s="12" t="str">
        <f>CONCATENATE("          ","6273"," - ","RENT")</f>
        <v xml:space="preserve">          6273 - RENT</v>
      </c>
      <c r="C56" s="12"/>
      <c r="D56" s="7">
        <v>800</v>
      </c>
      <c r="E56" s="3"/>
      <c r="F56" s="8">
        <f t="shared" si="8"/>
        <v>3.1914469222483741E-2</v>
      </c>
      <c r="G56" s="3"/>
      <c r="H56" s="7">
        <v>800</v>
      </c>
      <c r="I56" s="3"/>
      <c r="J56" s="8">
        <f t="shared" si="9"/>
        <v>1.8848364904344547E-2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8000</v>
      </c>
      <c r="Q56" s="3"/>
      <c r="R56" s="8">
        <f t="shared" si="12"/>
        <v>2.0026434894060158E-2</v>
      </c>
      <c r="S56" s="3"/>
      <c r="T56" s="7">
        <v>8000</v>
      </c>
      <c r="U56" s="3"/>
      <c r="V56" s="8">
        <f t="shared" si="13"/>
        <v>1.524091117787477E-2</v>
      </c>
      <c r="W56" s="3"/>
      <c r="X56" s="7">
        <f t="shared" si="14"/>
        <v>0</v>
      </c>
      <c r="Y56" s="3"/>
      <c r="Z56" s="8">
        <f t="shared" si="15"/>
        <v>0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0</v>
      </c>
      <c r="E57" s="2"/>
      <c r="F57" s="6">
        <f t="shared" si="8"/>
        <v>0</v>
      </c>
      <c r="G57" s="2"/>
      <c r="H57" s="2">
        <f>SUM(OSRRefH22_9x_0)</f>
        <v>3200</v>
      </c>
      <c r="I57" s="2"/>
      <c r="J57" s="6">
        <f t="shared" si="9"/>
        <v>7.5393459617378186E-2</v>
      </c>
      <c r="K57" s="2"/>
      <c r="L57" s="2">
        <f t="shared" si="10"/>
        <v>-3200</v>
      </c>
      <c r="M57" s="2"/>
      <c r="N57" s="6">
        <f t="shared" si="11"/>
        <v>-1</v>
      </c>
      <c r="O57" s="14"/>
      <c r="P57" s="2">
        <f>SUM(OSRRefP22_9x_0)</f>
        <v>131139.97</v>
      </c>
      <c r="Q57" s="2"/>
      <c r="R57" s="6">
        <f t="shared" si="12"/>
        <v>0.32828325890175031</v>
      </c>
      <c r="S57" s="2"/>
      <c r="T57" s="2">
        <f>SUM(OSRRefT22_9x_0)</f>
        <v>157000</v>
      </c>
      <c r="U57" s="2"/>
      <c r="V57" s="6">
        <f t="shared" si="13"/>
        <v>0.29910288186579237</v>
      </c>
      <c r="W57" s="2"/>
      <c r="X57" s="2">
        <f t="shared" si="14"/>
        <v>-25860.03</v>
      </c>
      <c r="Y57" s="2"/>
      <c r="Z57" s="6">
        <f t="shared" si="15"/>
        <v>-0.16471356687898089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7"/>
      <c r="E58" s="3"/>
      <c r="F58" s="8">
        <f t="shared" si="8"/>
        <v>0</v>
      </c>
      <c r="G58" s="3"/>
      <c r="H58" s="7"/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>
        <v>7583.7</v>
      </c>
      <c r="Q58" s="3"/>
      <c r="R58" s="8">
        <f t="shared" si="12"/>
        <v>1.8984309288260504E-2</v>
      </c>
      <c r="S58" s="3"/>
      <c r="T58" s="7">
        <v>125000</v>
      </c>
      <c r="U58" s="3"/>
      <c r="V58" s="8">
        <f t="shared" si="13"/>
        <v>0.23813923715429328</v>
      </c>
      <c r="W58" s="3"/>
      <c r="X58" s="7">
        <f t="shared" si="14"/>
        <v>-117416.3</v>
      </c>
      <c r="Y58" s="3"/>
      <c r="Z58" s="8">
        <f t="shared" si="15"/>
        <v>-0.93933040000000001</v>
      </c>
    </row>
    <row r="59" spans="1:26" s="70" customFormat="1" ht="15" hidden="1" customHeight="1" outlineLevel="2" x14ac:dyDescent="0.3">
      <c r="A59" s="26"/>
      <c r="B59" s="12" t="str">
        <f>CONCATENATE("          ","6372"," - ","COMPUTER HARDWARE MAINTENANCE")</f>
        <v xml:space="preserve">          6372 - COMPUTER HARDWARE MAINTENANCE</v>
      </c>
      <c r="C59" s="12"/>
      <c r="D59" s="7"/>
      <c r="E59" s="3"/>
      <c r="F59" s="8">
        <f t="shared" si="8"/>
        <v>0</v>
      </c>
      <c r="G59" s="3"/>
      <c r="H59" s="7">
        <v>3200</v>
      </c>
      <c r="I59" s="3"/>
      <c r="J59" s="8">
        <f t="shared" si="9"/>
        <v>7.5393459617378186E-2</v>
      </c>
      <c r="K59" s="3"/>
      <c r="L59" s="7">
        <f t="shared" si="10"/>
        <v>-3200</v>
      </c>
      <c r="M59" s="3"/>
      <c r="N59" s="8">
        <f t="shared" si="11"/>
        <v>-1</v>
      </c>
      <c r="O59" s="12"/>
      <c r="P59" s="7">
        <v>1555.65</v>
      </c>
      <c r="Q59" s="3"/>
      <c r="R59" s="8">
        <f t="shared" si="12"/>
        <v>3.8942654303680863E-3</v>
      </c>
      <c r="S59" s="3"/>
      <c r="T59" s="7">
        <v>32000</v>
      </c>
      <c r="U59" s="3"/>
      <c r="V59" s="8">
        <f t="shared" si="13"/>
        <v>6.0963644711499079E-2</v>
      </c>
      <c r="W59" s="3"/>
      <c r="X59" s="7">
        <f t="shared" si="14"/>
        <v>-30444.35</v>
      </c>
      <c r="Y59" s="3"/>
      <c r="Z59" s="8">
        <f t="shared" si="15"/>
        <v>-0.9513859375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122000.62</v>
      </c>
      <c r="Q60" s="3"/>
      <c r="R60" s="8">
        <f t="shared" si="12"/>
        <v>0.30540468418312172</v>
      </c>
      <c r="S60" s="3"/>
      <c r="T60" s="7"/>
      <c r="U60" s="3"/>
      <c r="V60" s="8">
        <f t="shared" si="13"/>
        <v>0</v>
      </c>
      <c r="W60" s="3"/>
      <c r="X60" s="7">
        <f t="shared" si="14"/>
        <v>122000.62</v>
      </c>
      <c r="Y60" s="3"/>
      <c r="Z60" s="8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0</v>
      </c>
      <c r="E61" s="2"/>
      <c r="F61" s="6">
        <f t="shared" si="8"/>
        <v>0</v>
      </c>
      <c r="G61" s="2"/>
      <c r="H61" s="2">
        <f>SUM(OSRRefH22_10x_0)</f>
        <v>85</v>
      </c>
      <c r="I61" s="2"/>
      <c r="J61" s="6">
        <f t="shared" si="9"/>
        <v>2.0026387710866084E-3</v>
      </c>
      <c r="K61" s="2"/>
      <c r="L61" s="2">
        <f t="shared" si="10"/>
        <v>-85</v>
      </c>
      <c r="M61" s="2"/>
      <c r="N61" s="6">
        <f t="shared" si="11"/>
        <v>-1</v>
      </c>
      <c r="O61" s="14"/>
      <c r="P61" s="2">
        <f>SUM(OSRRefP22_10x_0)</f>
        <v>0</v>
      </c>
      <c r="Q61" s="2"/>
      <c r="R61" s="6">
        <f t="shared" si="12"/>
        <v>0</v>
      </c>
      <c r="S61" s="2"/>
      <c r="T61" s="2">
        <f>SUM(OSRRefT22_10x_0)</f>
        <v>850</v>
      </c>
      <c r="U61" s="2"/>
      <c r="V61" s="6">
        <f t="shared" si="13"/>
        <v>1.6193468126491943E-3</v>
      </c>
      <c r="W61" s="2"/>
      <c r="X61" s="2">
        <f t="shared" si="14"/>
        <v>-850</v>
      </c>
      <c r="Y61" s="2"/>
      <c r="Z61" s="6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7"/>
      <c r="E62" s="3"/>
      <c r="F62" s="8">
        <f t="shared" si="8"/>
        <v>0</v>
      </c>
      <c r="G62" s="3"/>
      <c r="H62" s="7">
        <v>85</v>
      </c>
      <c r="I62" s="3"/>
      <c r="J62" s="8">
        <f t="shared" si="9"/>
        <v>2.0026387710866084E-3</v>
      </c>
      <c r="K62" s="3"/>
      <c r="L62" s="7">
        <f t="shared" si="10"/>
        <v>-85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850</v>
      </c>
      <c r="U62" s="3"/>
      <c r="V62" s="8">
        <f t="shared" si="13"/>
        <v>1.6193468126491943E-3</v>
      </c>
      <c r="W62" s="3"/>
      <c r="X62" s="7">
        <f t="shared" si="14"/>
        <v>-850</v>
      </c>
      <c r="Y62" s="3"/>
      <c r="Z62" s="8">
        <f t="shared" si="15"/>
        <v>-1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23.08</v>
      </c>
      <c r="E63" s="2"/>
      <c r="F63" s="6">
        <f t="shared" si="8"/>
        <v>9.2073243706865596E-4</v>
      </c>
      <c r="G63" s="2"/>
      <c r="H63" s="2">
        <f>SUM(OSRRefH22_11x_0)</f>
        <v>5800</v>
      </c>
      <c r="I63" s="2"/>
      <c r="J63" s="6">
        <f t="shared" si="9"/>
        <v>0.13665064555649797</v>
      </c>
      <c r="K63" s="2"/>
      <c r="L63" s="2">
        <f t="shared" si="10"/>
        <v>-5776.92</v>
      </c>
      <c r="M63" s="2"/>
      <c r="N63" s="6">
        <f t="shared" si="11"/>
        <v>-0.99602068965517243</v>
      </c>
      <c r="O63" s="14"/>
      <c r="P63" s="2">
        <f>SUM(OSRRefP22_11x_0)</f>
        <v>29615.53</v>
      </c>
      <c r="Q63" s="2"/>
      <c r="R63" s="6">
        <f t="shared" si="12"/>
        <v>7.4136685424760679E-2</v>
      </c>
      <c r="S63" s="2"/>
      <c r="T63" s="2">
        <f>SUM(OSRRefT22_11x_0)</f>
        <v>58000</v>
      </c>
      <c r="U63" s="2"/>
      <c r="V63" s="6">
        <f t="shared" si="13"/>
        <v>0.11049660603959208</v>
      </c>
      <c r="W63" s="2"/>
      <c r="X63" s="2">
        <f t="shared" si="14"/>
        <v>-28384.47</v>
      </c>
      <c r="Y63" s="2"/>
      <c r="Z63" s="6">
        <f t="shared" si="15"/>
        <v>-0.48938741379310347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>
        <v>5800</v>
      </c>
      <c r="I64" s="3"/>
      <c r="J64" s="8">
        <f t="shared" si="9"/>
        <v>0.13665064555649797</v>
      </c>
      <c r="K64" s="3"/>
      <c r="L64" s="7">
        <f t="shared" si="10"/>
        <v>-5800</v>
      </c>
      <c r="M64" s="3"/>
      <c r="N64" s="8">
        <f t="shared" si="11"/>
        <v>-1</v>
      </c>
      <c r="O64" s="12"/>
      <c r="P64" s="7"/>
      <c r="Q64" s="3"/>
      <c r="R64" s="8">
        <f t="shared" si="12"/>
        <v>0</v>
      </c>
      <c r="S64" s="3"/>
      <c r="T64" s="7">
        <v>58000</v>
      </c>
      <c r="U64" s="3"/>
      <c r="V64" s="8">
        <f t="shared" si="13"/>
        <v>0.11049660603959208</v>
      </c>
      <c r="W64" s="3"/>
      <c r="X64" s="7">
        <f t="shared" si="14"/>
        <v>-58000</v>
      </c>
      <c r="Y64" s="3"/>
      <c r="Z64" s="8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>
        <v>23.08</v>
      </c>
      <c r="E65" s="3"/>
      <c r="F65" s="8">
        <f t="shared" si="8"/>
        <v>9.2073243706865596E-4</v>
      </c>
      <c r="G65" s="3"/>
      <c r="H65" s="7"/>
      <c r="I65" s="3"/>
      <c r="J65" s="8">
        <f t="shared" si="9"/>
        <v>0</v>
      </c>
      <c r="K65" s="3"/>
      <c r="L65" s="7">
        <f t="shared" si="10"/>
        <v>23.08</v>
      </c>
      <c r="M65" s="3"/>
      <c r="N65" s="8">
        <f t="shared" si="11"/>
        <v>0</v>
      </c>
      <c r="O65" s="12"/>
      <c r="P65" s="7">
        <v>29590.18</v>
      </c>
      <c r="Q65" s="3"/>
      <c r="R65" s="8">
        <f t="shared" si="12"/>
        <v>7.4073226659190125E-2</v>
      </c>
      <c r="S65" s="3"/>
      <c r="T65" s="7"/>
      <c r="U65" s="3"/>
      <c r="V65" s="8">
        <f t="shared" si="13"/>
        <v>0</v>
      </c>
      <c r="W65" s="3"/>
      <c r="X65" s="7">
        <f t="shared" si="14"/>
        <v>29590.18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25.35</v>
      </c>
      <c r="Q66" s="3"/>
      <c r="R66" s="8">
        <f t="shared" si="12"/>
        <v>6.3458765570553134E-5</v>
      </c>
      <c r="S66" s="3"/>
      <c r="T66" s="7"/>
      <c r="U66" s="3"/>
      <c r="V66" s="8">
        <f t="shared" si="13"/>
        <v>0</v>
      </c>
      <c r="W66" s="3"/>
      <c r="X66" s="7">
        <f t="shared" si="14"/>
        <v>25.35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56.44</v>
      </c>
      <c r="E67" s="2"/>
      <c r="F67" s="6">
        <f t="shared" si="8"/>
        <v>2.2515658036462282E-3</v>
      </c>
      <c r="G67" s="2"/>
      <c r="H67" s="2">
        <f>SUM(OSRRefH22_12x_0)</f>
        <v>350</v>
      </c>
      <c r="I67" s="2"/>
      <c r="J67" s="6">
        <f t="shared" si="9"/>
        <v>8.2461596456507406E-3</v>
      </c>
      <c r="K67" s="2"/>
      <c r="L67" s="2">
        <f t="shared" si="10"/>
        <v>-293.56</v>
      </c>
      <c r="M67" s="2"/>
      <c r="N67" s="6">
        <f t="shared" si="11"/>
        <v>-0.83874285714285712</v>
      </c>
      <c r="O67" s="14"/>
      <c r="P67" s="2">
        <f>SUM(OSRRefP22_12x_0)</f>
        <v>423.69</v>
      </c>
      <c r="Q67" s="2"/>
      <c r="R67" s="6">
        <f t="shared" si="12"/>
        <v>1.0606250250330437E-3</v>
      </c>
      <c r="S67" s="2"/>
      <c r="T67" s="2">
        <f>SUM(OSRRefT22_12x_0)</f>
        <v>3500</v>
      </c>
      <c r="U67" s="2"/>
      <c r="V67" s="6">
        <f t="shared" si="13"/>
        <v>6.6678986403202111E-3</v>
      </c>
      <c r="W67" s="2"/>
      <c r="X67" s="2">
        <f t="shared" si="14"/>
        <v>-3076.31</v>
      </c>
      <c r="Y67" s="2"/>
      <c r="Z67" s="6">
        <f t="shared" si="15"/>
        <v>-0.87894571428571422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7">
        <v>56.44</v>
      </c>
      <c r="E68" s="3"/>
      <c r="F68" s="8">
        <f t="shared" si="8"/>
        <v>2.2515658036462282E-3</v>
      </c>
      <c r="G68" s="3"/>
      <c r="H68" s="7">
        <v>350</v>
      </c>
      <c r="I68" s="3"/>
      <c r="J68" s="8">
        <f t="shared" si="9"/>
        <v>8.2461596456507406E-3</v>
      </c>
      <c r="K68" s="3"/>
      <c r="L68" s="7">
        <f t="shared" si="10"/>
        <v>-293.56</v>
      </c>
      <c r="M68" s="3"/>
      <c r="N68" s="8">
        <f t="shared" si="11"/>
        <v>-0.83874285714285712</v>
      </c>
      <c r="O68" s="12"/>
      <c r="P68" s="7">
        <v>423.69</v>
      </c>
      <c r="Q68" s="3"/>
      <c r="R68" s="8">
        <f t="shared" si="12"/>
        <v>1.0606250250330437E-3</v>
      </c>
      <c r="S68" s="3"/>
      <c r="T68" s="7">
        <v>3500</v>
      </c>
      <c r="U68" s="3"/>
      <c r="V68" s="8">
        <f t="shared" si="13"/>
        <v>6.6678986403202111E-3</v>
      </c>
      <c r="W68" s="3"/>
      <c r="X68" s="7">
        <f t="shared" si="14"/>
        <v>-3076.31</v>
      </c>
      <c r="Y68" s="3"/>
      <c r="Z68" s="8">
        <f t="shared" si="15"/>
        <v>-0.87894571428571422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1500</v>
      </c>
      <c r="I69" s="2"/>
      <c r="J69" s="6">
        <f t="shared" si="9"/>
        <v>3.5340684195646024E-2</v>
      </c>
      <c r="K69" s="2"/>
      <c r="L69" s="2">
        <f t="shared" si="10"/>
        <v>-1500</v>
      </c>
      <c r="M69" s="2"/>
      <c r="N69" s="6">
        <f t="shared" si="11"/>
        <v>-1</v>
      </c>
      <c r="O69" s="14"/>
      <c r="P69" s="2">
        <f>SUM(OSRRefP22_13x_0)</f>
        <v>2000</v>
      </c>
      <c r="Q69" s="2"/>
      <c r="R69" s="6">
        <f t="shared" si="12"/>
        <v>5.0066087235150396E-3</v>
      </c>
      <c r="S69" s="2"/>
      <c r="T69" s="2">
        <f>SUM(OSRRefT22_13x_0)</f>
        <v>4500</v>
      </c>
      <c r="U69" s="2"/>
      <c r="V69" s="6">
        <f t="shared" si="13"/>
        <v>8.5730125375545578E-3</v>
      </c>
      <c r="W69" s="2"/>
      <c r="X69" s="2">
        <f t="shared" si="14"/>
        <v>-2500</v>
      </c>
      <c r="Y69" s="2"/>
      <c r="Z69" s="6">
        <f t="shared" si="15"/>
        <v>-0.55555555555555558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7"/>
      <c r="E70" s="3"/>
      <c r="F70" s="8">
        <f t="shared" si="8"/>
        <v>0</v>
      </c>
      <c r="G70" s="3"/>
      <c r="H70" s="7">
        <v>1500</v>
      </c>
      <c r="I70" s="3"/>
      <c r="J70" s="8">
        <f t="shared" si="9"/>
        <v>3.5340684195646024E-2</v>
      </c>
      <c r="K70" s="3"/>
      <c r="L70" s="7">
        <f t="shared" si="10"/>
        <v>-1500</v>
      </c>
      <c r="M70" s="3"/>
      <c r="N70" s="8">
        <f t="shared" si="11"/>
        <v>-1</v>
      </c>
      <c r="O70" s="12"/>
      <c r="P70" s="7">
        <v>2000</v>
      </c>
      <c r="Q70" s="3"/>
      <c r="R70" s="8">
        <f t="shared" si="12"/>
        <v>5.0066087235150396E-3</v>
      </c>
      <c r="S70" s="3"/>
      <c r="T70" s="7">
        <v>4500</v>
      </c>
      <c r="U70" s="3"/>
      <c r="V70" s="8">
        <f t="shared" si="13"/>
        <v>8.5730125375545578E-3</v>
      </c>
      <c r="W70" s="3"/>
      <c r="X70" s="7">
        <f t="shared" si="14"/>
        <v>-2500</v>
      </c>
      <c r="Y70" s="3"/>
      <c r="Z70" s="8">
        <f t="shared" si="15"/>
        <v>-0.55555555555555558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8" t="s">
        <v>291</v>
      </c>
      <c r="C72" s="11"/>
      <c r="D72" s="5">
        <f>SUM(OSRRefD25x_0)</f>
        <v>1642</v>
      </c>
      <c r="E72" s="5"/>
      <c r="F72" s="13">
        <f>IF(D$12=0,0,D72/D$12)</f>
        <v>6.5504448079147889E-2</v>
      </c>
      <c r="G72" s="5"/>
      <c r="H72" s="5">
        <f>SUM(OSRRefH25x_0)</f>
        <v>2400</v>
      </c>
      <c r="I72" s="5"/>
      <c r="J72" s="13">
        <f>IF(H$12=0,0,H72/H$12)</f>
        <v>5.6545094713033643E-2</v>
      </c>
      <c r="K72" s="5"/>
      <c r="L72" s="5">
        <f>+D72-H72</f>
        <v>-758</v>
      </c>
      <c r="M72" s="5"/>
      <c r="N72" s="13">
        <f>IF(H72=0,0,L72/H72)</f>
        <v>-0.31583333333333335</v>
      </c>
      <c r="O72" s="11"/>
      <c r="P72" s="5">
        <f>SUM(OSRRefP25x_0)</f>
        <v>11216.88</v>
      </c>
      <c r="Q72" s="5"/>
      <c r="R72" s="13">
        <f>IF(P$12=0,0,P72/P$12)</f>
        <v>2.8079264629310687E-2</v>
      </c>
      <c r="S72" s="5"/>
      <c r="T72" s="5">
        <f>SUM(OSRRefT25x_0)</f>
        <v>24000</v>
      </c>
      <c r="U72" s="5"/>
      <c r="V72" s="13">
        <f>IF(T$12=0,0,T72/T$12)</f>
        <v>4.5722733533624306E-2</v>
      </c>
      <c r="W72" s="5"/>
      <c r="X72" s="5">
        <f>+P72-T72</f>
        <v>-12783.12</v>
      </c>
      <c r="Y72" s="5"/>
      <c r="Z72" s="13">
        <f>IF(T72=0,0,X72/T72)</f>
        <v>-0.53263000000000005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--1642</f>
        <v>1642</v>
      </c>
      <c r="E73" s="3"/>
      <c r="F73" s="20">
        <f>IF(D$12=0,0,D73/D$12)</f>
        <v>6.5504448079147889E-2</v>
      </c>
      <c r="G73" s="3"/>
      <c r="H73" s="3">
        <v>2400</v>
      </c>
      <c r="I73" s="3"/>
      <c r="J73" s="20">
        <f>IF(H$12=0,0,H73/H$12)</f>
        <v>5.6545094713033643E-2</v>
      </c>
      <c r="K73" s="3"/>
      <c r="L73" s="3">
        <f>+D73-H73</f>
        <v>-758</v>
      </c>
      <c r="M73" s="3"/>
      <c r="N73" s="20">
        <f>IF(H73=0,0,L73/H73)</f>
        <v>-0.31583333333333335</v>
      </c>
      <c r="O73" s="12"/>
      <c r="P73" s="3">
        <f>--11216.88</f>
        <v>11216.88</v>
      </c>
      <c r="Q73" s="3"/>
      <c r="R73" s="20">
        <f>IF(P$12=0,0,P73/P$12)</f>
        <v>2.8079264629310687E-2</v>
      </c>
      <c r="S73" s="3"/>
      <c r="T73" s="3">
        <v>24000</v>
      </c>
      <c r="U73" s="3"/>
      <c r="V73" s="20">
        <f>IF(T$12=0,0,T73/T$12)</f>
        <v>4.5722733533624306E-2</v>
      </c>
      <c r="W73" s="3"/>
      <c r="X73" s="3">
        <f>+P73-T73</f>
        <v>-12783.12</v>
      </c>
      <c r="Y73" s="3"/>
      <c r="Z73" s="20">
        <f>IF(T73=0,0,X73/T73)</f>
        <v>-0.53263000000000005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292</v>
      </c>
      <c r="C75" s="27"/>
      <c r="D75" s="21">
        <f>+D17-D19+D72</f>
        <v>1433.0499999999993</v>
      </c>
      <c r="E75" s="15"/>
      <c r="F75" s="23">
        <f>IF(D$12=0,0,D75/D$12)</f>
        <v>5.7168787649100383E-2</v>
      </c>
      <c r="G75" s="15"/>
      <c r="H75" s="21">
        <f>+H17-H19+H72</f>
        <v>4337.5972385278801</v>
      </c>
      <c r="I75" s="15"/>
      <c r="J75" s="23">
        <f>IF(H$12=0,0,H75/H$12)</f>
        <v>0.1021957694498134</v>
      </c>
      <c r="K75" s="17"/>
      <c r="L75" s="21">
        <f>+D75-H75</f>
        <v>-2904.5472385278808</v>
      </c>
      <c r="M75" s="17"/>
      <c r="N75" s="23">
        <f>IF(H75=0,0,L75/H75)</f>
        <v>-0.66962123931857809</v>
      </c>
      <c r="O75" s="28"/>
      <c r="P75" s="21">
        <f>+P17-P19+P72</f>
        <v>44684.270000000011</v>
      </c>
      <c r="Q75" s="15"/>
      <c r="R75" s="23">
        <f>IF(P$12=0,0,P75/P$12)</f>
        <v>0.11185832799295073</v>
      </c>
      <c r="S75" s="15"/>
      <c r="T75" s="21">
        <f>+T17-T19+T72</f>
        <v>53646.887464045431</v>
      </c>
      <c r="U75" s="15"/>
      <c r="V75" s="23">
        <f>IF(T$12=0,0,T75/T$12)</f>
        <v>0.10220343085111998</v>
      </c>
      <c r="W75" s="17"/>
      <c r="X75" s="21">
        <f>+P75-T75</f>
        <v>-8962.6174640454192</v>
      </c>
      <c r="Y75" s="17"/>
      <c r="Z75" s="23">
        <f>IF(T75=0,0,X75/T75)</f>
        <v>-0.1670668679530054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569.41999999999996</v>
      </c>
      <c r="E77" s="5"/>
      <c r="F77" s="13">
        <f>IF(D$12=0,0,D77/D$12)</f>
        <v>2.2715921330833364E-2</v>
      </c>
      <c r="G77" s="5"/>
      <c r="H77" s="5">
        <v>5816</v>
      </c>
      <c r="I77" s="5"/>
      <c r="J77" s="13">
        <f>IF(H$12=0,0,H77/H$12)</f>
        <v>0.13702761285458487</v>
      </c>
      <c r="K77" s="5"/>
      <c r="L77" s="5">
        <f>+D77-H77</f>
        <v>-5246.58</v>
      </c>
      <c r="M77" s="5"/>
      <c r="N77" s="13">
        <f>IF(H77=0,0,L77/H77)</f>
        <v>-0.90209422283356255</v>
      </c>
      <c r="O77" s="11"/>
      <c r="P77" s="5">
        <v>45253.74</v>
      </c>
      <c r="Q77" s="5"/>
      <c r="R77" s="13">
        <f>IF(P$12=0,0,P77/P$12)</f>
        <v>0.11328388472784075</v>
      </c>
      <c r="S77" s="5"/>
      <c r="T77" s="5">
        <v>64571</v>
      </c>
      <c r="U77" s="5"/>
      <c r="V77" s="13">
        <f>IF(T$12=0,0,T77/T$12)</f>
        <v>0.12301510945831896</v>
      </c>
      <c r="W77" s="5"/>
      <c r="X77" s="5">
        <f>+P77-T77</f>
        <v>-19317.260000000002</v>
      </c>
      <c r="Y77" s="5"/>
      <c r="Z77" s="13">
        <f>IF(T77=0,0,X77/T77)</f>
        <v>-0.29916309179043227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7" t="s">
        <v>294</v>
      </c>
      <c r="C79" s="27"/>
      <c r="D79" s="29">
        <f>+D75-D77</f>
        <v>863.62999999999931</v>
      </c>
      <c r="E79" s="15"/>
      <c r="F79" s="30">
        <f>IF(D$12=0,0,D79/D$12)</f>
        <v>3.4452866318267016E-2</v>
      </c>
      <c r="G79" s="15"/>
      <c r="H79" s="29">
        <f>+H75-H77</f>
        <v>-1478.4027614721199</v>
      </c>
      <c r="I79" s="15"/>
      <c r="J79" s="30">
        <f>IF(H$12=0,0,H79/H$12)</f>
        <v>-3.4831843404771461E-2</v>
      </c>
      <c r="K79" s="17"/>
      <c r="L79" s="29">
        <f>D79-H79</f>
        <v>2342.0327614721191</v>
      </c>
      <c r="M79" s="17"/>
      <c r="N79" s="30">
        <f>IF(H79=0,0,L79/H79)</f>
        <v>-1.5841642227048056</v>
      </c>
      <c r="O79" s="28"/>
      <c r="P79" s="29">
        <f>+P75-P77</f>
        <v>-569.46999999998661</v>
      </c>
      <c r="Q79" s="15"/>
      <c r="R79" s="30">
        <f>IF(P$12=0,0,P79/P$12)</f>
        <v>-1.4255567348900214E-3</v>
      </c>
      <c r="S79" s="15"/>
      <c r="T79" s="29">
        <f>+T75-T77</f>
        <v>-10924.112535954569</v>
      </c>
      <c r="U79" s="15"/>
      <c r="V79" s="30">
        <f>IF(T$12=0,0,T79/T$12)</f>
        <v>-2.0811678607198986E-2</v>
      </c>
      <c r="W79" s="17"/>
      <c r="X79" s="29">
        <f>P79-T79</f>
        <v>10354.642535954583</v>
      </c>
      <c r="Y79" s="17"/>
      <c r="Z79" s="30">
        <f>IF(T79=0,0,X79/T79)</f>
        <v>-0.94787036492660726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297</v>
      </c>
      <c r="C82" s="27"/>
      <c r="D82" s="32">
        <f>SUM(D79:D81)</f>
        <v>863.62999999999931</v>
      </c>
      <c r="E82" s="15"/>
      <c r="F82" s="34">
        <f>IF(D$12=0,0,D82/D$12)</f>
        <v>3.4452866318267016E-2</v>
      </c>
      <c r="G82" s="15"/>
      <c r="H82" s="32">
        <f>SUM(H79:H81)</f>
        <v>-1478.4027614721199</v>
      </c>
      <c r="I82" s="15"/>
      <c r="J82" s="34">
        <f>IF(H$12=0,0,H82/H$12)</f>
        <v>-3.4831843404771461E-2</v>
      </c>
      <c r="K82" s="17"/>
      <c r="L82" s="32">
        <f>+D82-H82</f>
        <v>2342.0327614721191</v>
      </c>
      <c r="M82" s="17"/>
      <c r="N82" s="34">
        <f>IF(H82=0,0,L82/H82)</f>
        <v>-1.5841642227048056</v>
      </c>
      <c r="O82" s="28"/>
      <c r="P82" s="32">
        <f>SUM(P79:P81)</f>
        <v>-569.46999999998661</v>
      </c>
      <c r="Q82" s="15"/>
      <c r="R82" s="34">
        <f>IF(P$12=0,0,P82/P$12)</f>
        <v>-1.4255567348900214E-3</v>
      </c>
      <c r="S82" s="15"/>
      <c r="T82" s="32">
        <f>SUM(T79:T81)</f>
        <v>-10924.112535954569</v>
      </c>
      <c r="U82" s="15"/>
      <c r="V82" s="34">
        <f>IF(T$12=0,0,T82/T$12)</f>
        <v>-2.0811678607198986E-2</v>
      </c>
      <c r="W82" s="17"/>
      <c r="X82" s="32">
        <f>+P82-T82</f>
        <v>10354.642535954583</v>
      </c>
      <c r="Y82" s="17"/>
      <c r="Z82" s="34">
        <f>IF(T82=0,0,X82/T82)</f>
        <v>-0.94787036492660726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6">
        <v>44694.888535613427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0" t="s">
        <v>298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1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04B2B-81ED-C245-3E11-7140B7B0287C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">
        <v>300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87BD-0769-2ECD-EE15-7FD327250098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str">
        <f>CONCATENATE("Period ",RIGHT(202210,2),", ",2022)</f>
        <v>Period 10, 2022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0">
        <v>44681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str">
        <f>CONCATENATE("Department ","501"," - ","ID Card Services")</f>
        <v>Department 501 - ID Card Services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25067</v>
      </c>
      <c r="E12" s="5"/>
      <c r="F12" s="13"/>
      <c r="G12" s="5"/>
      <c r="H12" s="5">
        <f>SUM(OSRRefH13x_0)</f>
        <v>42444</v>
      </c>
      <c r="I12" s="5"/>
      <c r="J12" s="13"/>
      <c r="K12" s="5"/>
      <c r="L12" s="5">
        <f>+D12-H12</f>
        <v>-17377</v>
      </c>
      <c r="M12" s="5"/>
      <c r="N12" s="13">
        <f>IF(H12=0,0,L12/H12)</f>
        <v>-0.40941004617849402</v>
      </c>
      <c r="O12" s="11"/>
      <c r="P12" s="5">
        <f>SUM(OSRRefP13x_0)</f>
        <v>399472</v>
      </c>
      <c r="Q12" s="5"/>
      <c r="R12" s="13"/>
      <c r="S12" s="5"/>
      <c r="T12" s="5">
        <f>SUM(OSRRefT13x_0)</f>
        <v>524903</v>
      </c>
      <c r="U12" s="5"/>
      <c r="V12" s="13"/>
      <c r="W12" s="5"/>
      <c r="X12" s="5">
        <f>+P12-T12</f>
        <v>-125431</v>
      </c>
      <c r="Y12" s="5"/>
      <c r="Z12" s="13">
        <f>IF(T12=0,0,X12/T12)</f>
        <v>-0.23896034124400128</v>
      </c>
    </row>
    <row r="13" spans="1:26" s="70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--25067</f>
        <v>25067</v>
      </c>
      <c r="E13" s="3"/>
      <c r="F13" s="20"/>
      <c r="G13" s="3"/>
      <c r="H13" s="3">
        <v>42444</v>
      </c>
      <c r="I13" s="3"/>
      <c r="J13" s="20"/>
      <c r="K13" s="3"/>
      <c r="L13" s="3">
        <f>+D13-H13</f>
        <v>-17377</v>
      </c>
      <c r="M13" s="3"/>
      <c r="N13" s="20">
        <f>IF(H13=0,0,L13/H13)</f>
        <v>-0.40941004617849402</v>
      </c>
      <c r="O13" s="12"/>
      <c r="P13" s="3">
        <f>--399472</f>
        <v>399472</v>
      </c>
      <c r="Q13" s="3"/>
      <c r="R13" s="20"/>
      <c r="S13" s="3"/>
      <c r="T13" s="3">
        <v>524903</v>
      </c>
      <c r="U13" s="3"/>
      <c r="V13" s="20"/>
      <c r="W13" s="3"/>
      <c r="X13" s="3">
        <f>+P13-T13</f>
        <v>-125431</v>
      </c>
      <c r="Y13" s="3"/>
      <c r="Z13" s="20">
        <f>IF(T13=0,0,X13/T13)</f>
        <v>-0.23896034124400128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3">
      <c r="A15" s="11"/>
      <c r="B15" s="28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7" t="s">
        <v>289</v>
      </c>
      <c r="C17" s="27"/>
      <c r="D17" s="21">
        <f>D12-D15</f>
        <v>25067</v>
      </c>
      <c r="E17" s="15"/>
      <c r="F17" s="23">
        <f>IF(D$12=0,0,D17/D$12)</f>
        <v>1</v>
      </c>
      <c r="G17" s="15"/>
      <c r="H17" s="21">
        <f>H12-H15</f>
        <v>42444</v>
      </c>
      <c r="I17" s="15"/>
      <c r="J17" s="23">
        <f>IF(H$12=0,0,H17/H$12)</f>
        <v>1</v>
      </c>
      <c r="K17" s="17"/>
      <c r="L17" s="21">
        <f>+D17-H17</f>
        <v>-17377</v>
      </c>
      <c r="M17" s="17"/>
      <c r="N17" s="23">
        <f>IF(H17=0,0,L17/H17)</f>
        <v>-0.40941004617849402</v>
      </c>
      <c r="O17" s="28"/>
      <c r="P17" s="21">
        <f>P12-P15</f>
        <v>399472</v>
      </c>
      <c r="Q17" s="15"/>
      <c r="R17" s="23">
        <f>IF(P$12=0,0,P17/P$12)</f>
        <v>1</v>
      </c>
      <c r="S17" s="15"/>
      <c r="T17" s="21">
        <f>T12-T15</f>
        <v>524903</v>
      </c>
      <c r="U17" s="15"/>
      <c r="V17" s="23">
        <f>IF(T$12=0,0,T17/T$12)</f>
        <v>1</v>
      </c>
      <c r="W17" s="17"/>
      <c r="X17" s="21">
        <f>+P17-T17</f>
        <v>-125431</v>
      </c>
      <c r="Y17" s="17"/>
      <c r="Z17" s="23">
        <f>IF(T17=0,0,X17/T17)</f>
        <v>-0.23896034124400128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8" t="s">
        <v>290</v>
      </c>
      <c r="C19" s="11"/>
      <c r="D19" s="22" cm="1">
        <f t="array" ref="D19">SUM(OSRRefD22x_0)</f>
        <v>25275.95</v>
      </c>
      <c r="E19" s="22"/>
      <c r="F19" s="33">
        <f t="shared" ref="F19:F50" si="0">IF(D$12=0,0,D19/D$12)</f>
        <v>1.0083356604300475</v>
      </c>
      <c r="G19" s="22"/>
      <c r="H19" s="22" cm="1">
        <f t="array" ref="H19">SUM(OSRRefH22x_0)</f>
        <v>40506.40276147212</v>
      </c>
      <c r="I19" s="22"/>
      <c r="J19" s="33">
        <f t="shared" ref="J19:J50" si="1">IF(H$12=0,0,H19/H$12)</f>
        <v>0.95434932526322025</v>
      </c>
      <c r="K19" s="5"/>
      <c r="L19" s="22">
        <f t="shared" ref="L19:L50" si="2">+D19-H19</f>
        <v>-15230.452761472119</v>
      </c>
      <c r="M19" s="5"/>
      <c r="N19" s="33">
        <f t="shared" ref="N19:N50" si="3">IF(H19=0,0,L19/H19)</f>
        <v>-0.37600111891344362</v>
      </c>
      <c r="O19" s="11"/>
      <c r="P19" s="22" cm="1">
        <f t="array" ref="P19">SUM(OSRRefP22x_0)</f>
        <v>366004.61</v>
      </c>
      <c r="Q19" s="22"/>
      <c r="R19" s="33">
        <f t="shared" ref="R19:R50" si="4">IF(P$12=0,0,P19/P$12)</f>
        <v>0.91622093663635995</v>
      </c>
      <c r="S19" s="22"/>
      <c r="T19" s="22" cm="1">
        <f t="array" ref="T19">SUM(OSRRefT22x_0)</f>
        <v>495256.11253595457</v>
      </c>
      <c r="U19" s="22"/>
      <c r="V19" s="33">
        <f t="shared" ref="V19:V50" si="5">IF(T$12=0,0,T19/T$12)</f>
        <v>0.94351930268250428</v>
      </c>
      <c r="W19" s="5"/>
      <c r="X19" s="22">
        <f t="shared" ref="X19:X50" si="6">+P19-T19</f>
        <v>-129251.50253595458</v>
      </c>
      <c r="Y19" s="5"/>
      <c r="Z19" s="33">
        <f t="shared" ref="Z19:Z50" si="7">IF(T19=0,0,X19/T19)</f>
        <v>-0.26097911618722563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5219.9399999999987</v>
      </c>
      <c r="E20" s="2"/>
      <c r="F20" s="6">
        <f t="shared" si="0"/>
        <v>0.2082395180915147</v>
      </c>
      <c r="G20" s="2"/>
      <c r="H20" s="2">
        <f>SUM(OSRRefH22_0x_0)</f>
        <v>3889.6049585875021</v>
      </c>
      <c r="I20" s="2"/>
      <c r="J20" s="6">
        <f t="shared" si="1"/>
        <v>9.1640866991506503E-2</v>
      </c>
      <c r="K20" s="2"/>
      <c r="L20" s="2">
        <f t="shared" si="2"/>
        <v>1330.3350414124966</v>
      </c>
      <c r="M20" s="2"/>
      <c r="N20" s="6">
        <f t="shared" si="3"/>
        <v>0.3420231760234087</v>
      </c>
      <c r="O20" s="14"/>
      <c r="P20" s="2">
        <f>SUM(OSRRefP22_0x_0)</f>
        <v>42342.96</v>
      </c>
      <c r="Q20" s="2"/>
      <c r="R20" s="6">
        <f t="shared" si="4"/>
        <v>0.1059973164577242</v>
      </c>
      <c r="S20" s="2"/>
      <c r="T20" s="2">
        <f>SUM(OSRRefT22_0x_0)</f>
        <v>37644.691870570008</v>
      </c>
      <c r="U20" s="2"/>
      <c r="V20" s="6">
        <f t="shared" si="5"/>
        <v>7.171742563972773E-2</v>
      </c>
      <c r="W20" s="2"/>
      <c r="X20" s="2">
        <f t="shared" si="6"/>
        <v>4698.2681294299909</v>
      </c>
      <c r="Y20" s="2"/>
      <c r="Z20" s="6">
        <f t="shared" si="7"/>
        <v>0.12480559398875087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7">
        <v>1347.61</v>
      </c>
      <c r="E21" s="3"/>
      <c r="F21" s="8">
        <f t="shared" si="0"/>
        <v>5.3760322336139144E-2</v>
      </c>
      <c r="G21" s="3"/>
      <c r="H21" s="7">
        <v>841.49147984711601</v>
      </c>
      <c r="I21" s="3"/>
      <c r="J21" s="8">
        <f t="shared" si="1"/>
        <v>1.9825923095069174E-2</v>
      </c>
      <c r="K21" s="3"/>
      <c r="L21" s="7">
        <f t="shared" si="2"/>
        <v>506.11852015288389</v>
      </c>
      <c r="M21" s="3"/>
      <c r="N21" s="8">
        <f t="shared" si="3"/>
        <v>0.60145412315385127</v>
      </c>
      <c r="O21" s="12"/>
      <c r="P21" s="7">
        <v>10522.56</v>
      </c>
      <c r="Q21" s="3"/>
      <c r="R21" s="8">
        <f t="shared" si="4"/>
        <v>2.6341170344855207E-2</v>
      </c>
      <c r="S21" s="3"/>
      <c r="T21" s="7">
        <v>9353.9997376546198</v>
      </c>
      <c r="U21" s="3"/>
      <c r="V21" s="8">
        <f t="shared" si="5"/>
        <v>1.7820434894932246E-2</v>
      </c>
      <c r="W21" s="3"/>
      <c r="X21" s="7">
        <f t="shared" si="6"/>
        <v>1168.5602623453797</v>
      </c>
      <c r="Y21" s="3"/>
      <c r="Z21" s="8">
        <f t="shared" si="7"/>
        <v>0.12492626631592993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7">
        <v>190.88</v>
      </c>
      <c r="E22" s="3"/>
      <c r="F22" s="8">
        <f t="shared" si="0"/>
        <v>7.6147923564846209E-3</v>
      </c>
      <c r="G22" s="3"/>
      <c r="H22" s="7">
        <v>371.76479549999999</v>
      </c>
      <c r="I22" s="3"/>
      <c r="J22" s="8">
        <f t="shared" si="1"/>
        <v>8.758948155216285E-3</v>
      </c>
      <c r="K22" s="3"/>
      <c r="L22" s="7">
        <f t="shared" si="2"/>
        <v>-180.8847955</v>
      </c>
      <c r="M22" s="3"/>
      <c r="N22" s="8">
        <f t="shared" si="3"/>
        <v>-0.48655708579593032</v>
      </c>
      <c r="O22" s="12"/>
      <c r="P22" s="7">
        <v>1698.32</v>
      </c>
      <c r="Q22" s="3"/>
      <c r="R22" s="8">
        <f t="shared" si="4"/>
        <v>4.2514118636600307E-3</v>
      </c>
      <c r="S22" s="3"/>
      <c r="T22" s="7">
        <v>3350.1167604000002</v>
      </c>
      <c r="U22" s="3"/>
      <c r="V22" s="8">
        <f t="shared" si="5"/>
        <v>6.3823539975957468E-3</v>
      </c>
      <c r="W22" s="3"/>
      <c r="X22" s="7">
        <f t="shared" si="6"/>
        <v>-1651.7967604000003</v>
      </c>
      <c r="Y22" s="3"/>
      <c r="Z22" s="8">
        <f t="shared" si="7"/>
        <v>-0.49305647490410981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7">
        <v>964.7</v>
      </c>
      <c r="E23" s="3"/>
      <c r="F23" s="8">
        <f t="shared" si="0"/>
        <v>3.8484860573662585E-2</v>
      </c>
      <c r="G23" s="3"/>
      <c r="H23" s="7">
        <v>1022.5</v>
      </c>
      <c r="I23" s="3"/>
      <c r="J23" s="8">
        <f t="shared" si="1"/>
        <v>2.4090566393365376E-2</v>
      </c>
      <c r="K23" s="3"/>
      <c r="L23" s="7">
        <f t="shared" si="2"/>
        <v>-57.799999999999955</v>
      </c>
      <c r="M23" s="3"/>
      <c r="N23" s="8">
        <f t="shared" si="3"/>
        <v>-5.6528117359413162E-2</v>
      </c>
      <c r="O23" s="12"/>
      <c r="P23" s="7">
        <v>10184.9</v>
      </c>
      <c r="Q23" s="3"/>
      <c r="R23" s="8">
        <f t="shared" si="4"/>
        <v>2.5495904594064162E-2</v>
      </c>
      <c r="S23" s="3"/>
      <c r="T23" s="7">
        <v>10225</v>
      </c>
      <c r="U23" s="3"/>
      <c r="V23" s="8">
        <f t="shared" si="5"/>
        <v>1.9479789599221191E-2</v>
      </c>
      <c r="W23" s="3"/>
      <c r="X23" s="7">
        <f t="shared" si="6"/>
        <v>-40.100000000000364</v>
      </c>
      <c r="Y23" s="3"/>
      <c r="Z23" s="8">
        <f t="shared" si="7"/>
        <v>-3.9217603911980798E-3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37.200000000000003</v>
      </c>
      <c r="E24" s="3"/>
      <c r="F24" s="8">
        <f t="shared" si="0"/>
        <v>1.4840228188454942E-3</v>
      </c>
      <c r="G24" s="3"/>
      <c r="H24" s="7">
        <v>50.045260932692301</v>
      </c>
      <c r="I24" s="3"/>
      <c r="J24" s="8">
        <f t="shared" si="1"/>
        <v>1.1790891747406535E-3</v>
      </c>
      <c r="K24" s="3"/>
      <c r="L24" s="7">
        <f t="shared" si="2"/>
        <v>-12.845260932692298</v>
      </c>
      <c r="M24" s="3"/>
      <c r="N24" s="8">
        <f t="shared" si="3"/>
        <v>-0.25667287358074442</v>
      </c>
      <c r="O24" s="12"/>
      <c r="P24" s="7">
        <v>335.4</v>
      </c>
      <c r="Q24" s="3"/>
      <c r="R24" s="8">
        <f t="shared" si="4"/>
        <v>8.3960828293347216E-4</v>
      </c>
      <c r="S24" s="3"/>
      <c r="T24" s="7">
        <v>450.97725620769199</v>
      </c>
      <c r="U24" s="3"/>
      <c r="V24" s="8">
        <f t="shared" si="5"/>
        <v>8.5916303813788827E-4</v>
      </c>
      <c r="W24" s="3"/>
      <c r="X24" s="7">
        <f t="shared" si="6"/>
        <v>-115.57725620769202</v>
      </c>
      <c r="Y24" s="3"/>
      <c r="Z24" s="8">
        <f t="shared" si="7"/>
        <v>-0.25628178498310866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7">
        <v>914.5</v>
      </c>
      <c r="E25" s="3"/>
      <c r="F25" s="8">
        <f t="shared" si="0"/>
        <v>3.6482227629951729E-2</v>
      </c>
      <c r="G25" s="3"/>
      <c r="H25" s="7">
        <v>721.15959057692396</v>
      </c>
      <c r="I25" s="3"/>
      <c r="J25" s="8">
        <f t="shared" si="1"/>
        <v>1.699084889682697E-2</v>
      </c>
      <c r="K25" s="3"/>
      <c r="L25" s="7">
        <f t="shared" si="2"/>
        <v>193.34040942307604</v>
      </c>
      <c r="M25" s="3"/>
      <c r="N25" s="8">
        <f t="shared" si="3"/>
        <v>0.26809656551666283</v>
      </c>
      <c r="O25" s="12"/>
      <c r="P25" s="7">
        <v>6645.61</v>
      </c>
      <c r="Q25" s="3"/>
      <c r="R25" s="8">
        <f t="shared" si="4"/>
        <v>1.6635984499539392E-2</v>
      </c>
      <c r="S25" s="3"/>
      <c r="T25" s="7">
        <v>6346.20439707693</v>
      </c>
      <c r="U25" s="3"/>
      <c r="V25" s="8">
        <f t="shared" si="5"/>
        <v>1.2090242191560975E-2</v>
      </c>
      <c r="W25" s="3"/>
      <c r="X25" s="7">
        <f t="shared" si="6"/>
        <v>299.40560292306964</v>
      </c>
      <c r="Y25" s="3"/>
      <c r="Z25" s="8">
        <f t="shared" si="7"/>
        <v>4.7178688896464829E-2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7">
        <v>60</v>
      </c>
      <c r="E27" s="3"/>
      <c r="F27" s="8">
        <f t="shared" si="0"/>
        <v>2.3935851916862807E-3</v>
      </c>
      <c r="G27" s="3"/>
      <c r="H27" s="7"/>
      <c r="I27" s="3"/>
      <c r="J27" s="8">
        <f t="shared" si="1"/>
        <v>0</v>
      </c>
      <c r="K27" s="3"/>
      <c r="L27" s="7">
        <f t="shared" si="2"/>
        <v>60</v>
      </c>
      <c r="M27" s="3"/>
      <c r="N27" s="8">
        <f t="shared" si="3"/>
        <v>0</v>
      </c>
      <c r="O27" s="12"/>
      <c r="P27" s="7">
        <v>275.14999999999998</v>
      </c>
      <c r="Q27" s="3"/>
      <c r="R27" s="8">
        <f t="shared" si="4"/>
        <v>6.8878419513758156E-4</v>
      </c>
      <c r="S27" s="3"/>
      <c r="T27" s="7"/>
      <c r="U27" s="3"/>
      <c r="V27" s="8">
        <f t="shared" si="5"/>
        <v>0</v>
      </c>
      <c r="W27" s="3"/>
      <c r="X27" s="7">
        <f t="shared" si="6"/>
        <v>275.14999999999998</v>
      </c>
      <c r="Y27" s="3"/>
      <c r="Z27" s="8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7">
        <v>925.81</v>
      </c>
      <c r="E28" s="3"/>
      <c r="F28" s="8">
        <f t="shared" si="0"/>
        <v>3.6933418438584588E-2</v>
      </c>
      <c r="G28" s="3"/>
      <c r="H28" s="7">
        <v>251.56729903846201</v>
      </c>
      <c r="I28" s="3"/>
      <c r="J28" s="8">
        <f t="shared" si="1"/>
        <v>5.9270403128466216E-3</v>
      </c>
      <c r="K28" s="3"/>
      <c r="L28" s="7">
        <f t="shared" si="2"/>
        <v>674.24270096153793</v>
      </c>
      <c r="M28" s="3"/>
      <c r="N28" s="8">
        <f t="shared" si="3"/>
        <v>2.6801683030291361</v>
      </c>
      <c r="O28" s="12"/>
      <c r="P28" s="7">
        <v>6826.85</v>
      </c>
      <c r="Q28" s="3"/>
      <c r="R28" s="8">
        <f t="shared" si="4"/>
        <v>1.7089683382064326E-2</v>
      </c>
      <c r="S28" s="3"/>
      <c r="T28" s="7">
        <v>2213.7922315384599</v>
      </c>
      <c r="U28" s="3"/>
      <c r="V28" s="8">
        <f t="shared" si="5"/>
        <v>4.2175263458933557E-3</v>
      </c>
      <c r="W28" s="3"/>
      <c r="X28" s="7">
        <f t="shared" si="6"/>
        <v>4613.05776846154</v>
      </c>
      <c r="Y28" s="3"/>
      <c r="Z28" s="8">
        <f t="shared" si="7"/>
        <v>2.0837808095729593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7">
        <v>588.70000000000005</v>
      </c>
      <c r="E29" s="3"/>
      <c r="F29" s="8">
        <f t="shared" si="0"/>
        <v>2.3485060039095226E-2</v>
      </c>
      <c r="G29" s="3"/>
      <c r="H29" s="7">
        <v>631.07653269230798</v>
      </c>
      <c r="I29" s="3"/>
      <c r="J29" s="8">
        <f t="shared" si="1"/>
        <v>1.4868450963441427E-2</v>
      </c>
      <c r="K29" s="3"/>
      <c r="L29" s="7">
        <f t="shared" si="2"/>
        <v>-42.376532692307933</v>
      </c>
      <c r="M29" s="3"/>
      <c r="N29" s="8">
        <f t="shared" si="3"/>
        <v>-6.7149593586566345E-2</v>
      </c>
      <c r="O29" s="12"/>
      <c r="P29" s="7">
        <v>5087.38</v>
      </c>
      <c r="Q29" s="3"/>
      <c r="R29" s="8">
        <f t="shared" si="4"/>
        <v>1.2735260543917971E-2</v>
      </c>
      <c r="S29" s="3"/>
      <c r="T29" s="7">
        <v>5704.60148769231</v>
      </c>
      <c r="U29" s="3"/>
      <c r="V29" s="8">
        <f t="shared" si="5"/>
        <v>1.0867915572386345E-2</v>
      </c>
      <c r="W29" s="3"/>
      <c r="X29" s="7">
        <f t="shared" si="6"/>
        <v>-617.22148769230989</v>
      </c>
      <c r="Y29" s="3"/>
      <c r="Z29" s="8">
        <f t="shared" si="7"/>
        <v>-0.10819712630653808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190.54</v>
      </c>
      <c r="E30" s="3"/>
      <c r="F30" s="8">
        <f t="shared" si="0"/>
        <v>7.6012287070650652E-3</v>
      </c>
      <c r="G30" s="3"/>
      <c r="H30" s="7"/>
      <c r="I30" s="3"/>
      <c r="J30" s="8">
        <f t="shared" si="1"/>
        <v>0</v>
      </c>
      <c r="K30" s="3"/>
      <c r="L30" s="7">
        <f t="shared" si="2"/>
        <v>190.54</v>
      </c>
      <c r="M30" s="3"/>
      <c r="N30" s="8">
        <f t="shared" si="3"/>
        <v>0</v>
      </c>
      <c r="O30" s="12"/>
      <c r="P30" s="7">
        <v>766.79</v>
      </c>
      <c r="Q30" s="3"/>
      <c r="R30" s="8">
        <f t="shared" si="4"/>
        <v>1.9195087515520486E-3</v>
      </c>
      <c r="S30" s="3"/>
      <c r="T30" s="7"/>
      <c r="U30" s="3"/>
      <c r="V30" s="8">
        <f t="shared" si="5"/>
        <v>0</v>
      </c>
      <c r="W30" s="3"/>
      <c r="X30" s="7">
        <f t="shared" si="6"/>
        <v>766.79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18557.16</v>
      </c>
      <c r="E31" s="2"/>
      <c r="F31" s="6">
        <f t="shared" si="0"/>
        <v>0.74030238959588301</v>
      </c>
      <c r="G31" s="2"/>
      <c r="H31" s="2">
        <f>SUM(OSRRefH22_1x_0)</f>
        <v>23411.797802884619</v>
      </c>
      <c r="I31" s="2"/>
      <c r="J31" s="6">
        <f t="shared" si="1"/>
        <v>0.55159263506937661</v>
      </c>
      <c r="K31" s="2"/>
      <c r="L31" s="2">
        <f t="shared" si="2"/>
        <v>-4854.6378028846193</v>
      </c>
      <c r="M31" s="2"/>
      <c r="N31" s="6">
        <f t="shared" si="3"/>
        <v>-0.20735860798722894</v>
      </c>
      <c r="O31" s="14"/>
      <c r="P31" s="2">
        <f>SUM(OSRRefP22_1x_0)</f>
        <v>147822.22999999998</v>
      </c>
      <c r="Q31" s="2"/>
      <c r="R31" s="6">
        <f t="shared" si="4"/>
        <v>0.37004403312372325</v>
      </c>
      <c r="S31" s="2"/>
      <c r="T31" s="2">
        <f>SUM(OSRRefT22_1x_0)</f>
        <v>211061.42066538462</v>
      </c>
      <c r="U31" s="2"/>
      <c r="V31" s="6">
        <f t="shared" si="5"/>
        <v>0.40209604567964868</v>
      </c>
      <c r="W31" s="2"/>
      <c r="X31" s="2">
        <f t="shared" si="6"/>
        <v>-63239.190665384638</v>
      </c>
      <c r="Y31" s="2"/>
      <c r="Z31" s="6">
        <f t="shared" si="7"/>
        <v>-0.29962458542171777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5589.48</v>
      </c>
      <c r="E32" s="3"/>
      <c r="F32" s="8">
        <f t="shared" si="0"/>
        <v>0.22298160928711053</v>
      </c>
      <c r="G32" s="3"/>
      <c r="H32" s="7">
        <v>5174.7596153846198</v>
      </c>
      <c r="I32" s="3"/>
      <c r="J32" s="8">
        <f t="shared" si="1"/>
        <v>0.1219196969037937</v>
      </c>
      <c r="K32" s="3"/>
      <c r="L32" s="7">
        <f t="shared" si="2"/>
        <v>414.72038461537977</v>
      </c>
      <c r="M32" s="3"/>
      <c r="N32" s="8">
        <f t="shared" si="3"/>
        <v>8.0142927486411414E-2</v>
      </c>
      <c r="O32" s="12"/>
      <c r="P32" s="7">
        <v>47666.58</v>
      </c>
      <c r="Q32" s="3"/>
      <c r="R32" s="8">
        <f t="shared" si="4"/>
        <v>0.11932395762406377</v>
      </c>
      <c r="S32" s="3"/>
      <c r="T32" s="7">
        <v>45537.884615384603</v>
      </c>
      <c r="U32" s="3"/>
      <c r="V32" s="8">
        <f t="shared" si="5"/>
        <v>8.6754856831423338E-2</v>
      </c>
      <c r="W32" s="3"/>
      <c r="X32" s="7">
        <f t="shared" si="6"/>
        <v>2128.6953846153992</v>
      </c>
      <c r="Y32" s="3"/>
      <c r="Z32" s="8">
        <f t="shared" si="7"/>
        <v>4.6745592216117939E-2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2040</v>
      </c>
      <c r="E33" s="3"/>
      <c r="F33" s="8">
        <f t="shared" si="0"/>
        <v>8.1381896517333546E-2</v>
      </c>
      <c r="G33" s="3"/>
      <c r="H33" s="7">
        <v>2791.5381874999998</v>
      </c>
      <c r="I33" s="3"/>
      <c r="J33" s="8">
        <f t="shared" si="1"/>
        <v>6.576991300301574E-2</v>
      </c>
      <c r="K33" s="3"/>
      <c r="L33" s="7">
        <f t="shared" si="2"/>
        <v>-751.53818749999982</v>
      </c>
      <c r="M33" s="3"/>
      <c r="N33" s="8">
        <f t="shared" si="3"/>
        <v>-0.26922009910709843</v>
      </c>
      <c r="O33" s="12"/>
      <c r="P33" s="7">
        <v>18624.57</v>
      </c>
      <c r="Q33" s="3"/>
      <c r="R33" s="8">
        <f t="shared" si="4"/>
        <v>4.6622967316858249E-2</v>
      </c>
      <c r="S33" s="3"/>
      <c r="T33" s="7">
        <v>24565.536049999999</v>
      </c>
      <c r="U33" s="3"/>
      <c r="V33" s="8">
        <f t="shared" si="5"/>
        <v>4.6800144121866324E-2</v>
      </c>
      <c r="W33" s="3"/>
      <c r="X33" s="7">
        <f t="shared" si="6"/>
        <v>-5940.9660499999991</v>
      </c>
      <c r="Y33" s="3"/>
      <c r="Z33" s="8">
        <f t="shared" si="7"/>
        <v>-0.24184149850863929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2481.75</v>
      </c>
      <c r="E35" s="3"/>
      <c r="F35" s="8">
        <f t="shared" si="0"/>
        <v>9.9004667491123785E-2</v>
      </c>
      <c r="G35" s="3"/>
      <c r="H35" s="7">
        <v>2610</v>
      </c>
      <c r="I35" s="3"/>
      <c r="J35" s="8">
        <f t="shared" si="1"/>
        <v>6.149279050042409E-2</v>
      </c>
      <c r="K35" s="3"/>
      <c r="L35" s="7">
        <f t="shared" si="2"/>
        <v>-128.25</v>
      </c>
      <c r="M35" s="3"/>
      <c r="N35" s="8">
        <f t="shared" si="3"/>
        <v>-4.913793103448276E-2</v>
      </c>
      <c r="O35" s="12"/>
      <c r="P35" s="7">
        <v>13322.22</v>
      </c>
      <c r="Q35" s="3"/>
      <c r="R35" s="8">
        <f t="shared" si="4"/>
        <v>3.3349571434293263E-2</v>
      </c>
      <c r="S35" s="3"/>
      <c r="T35" s="7">
        <v>22446</v>
      </c>
      <c r="U35" s="3"/>
      <c r="V35" s="8">
        <f t="shared" si="5"/>
        <v>4.2762186537322132E-2</v>
      </c>
      <c r="W35" s="3"/>
      <c r="X35" s="7">
        <f t="shared" si="6"/>
        <v>-9123.7800000000007</v>
      </c>
      <c r="Y35" s="3"/>
      <c r="Z35" s="8">
        <f t="shared" si="7"/>
        <v>-0.40647687784014974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5524.33</v>
      </c>
      <c r="E36" s="3"/>
      <c r="F36" s="8">
        <f t="shared" si="0"/>
        <v>0.22038257469980452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5524.33</v>
      </c>
      <c r="M36" s="3"/>
      <c r="N36" s="8">
        <f t="shared" si="3"/>
        <v>0</v>
      </c>
      <c r="O36" s="12"/>
      <c r="P36" s="7">
        <v>53895.56</v>
      </c>
      <c r="Q36" s="3"/>
      <c r="R36" s="8">
        <f t="shared" si="4"/>
        <v>0.1349169904273641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53895.56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2921.6</v>
      </c>
      <c r="E38" s="3"/>
      <c r="F38" s="8">
        <f t="shared" si="0"/>
        <v>0.11655164160051062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2921.6</v>
      </c>
      <c r="M38" s="3"/>
      <c r="N38" s="8">
        <f t="shared" si="3"/>
        <v>0</v>
      </c>
      <c r="O38" s="12"/>
      <c r="P38" s="7">
        <v>14149.08</v>
      </c>
      <c r="Q38" s="3"/>
      <c r="R38" s="8">
        <f t="shared" si="4"/>
        <v>3.5419453678856093E-2</v>
      </c>
      <c r="S38" s="3"/>
      <c r="T38" s="7">
        <v>25987.5</v>
      </c>
      <c r="U38" s="3"/>
      <c r="V38" s="8">
        <f t="shared" si="5"/>
        <v>4.950914740437757E-2</v>
      </c>
      <c r="W38" s="3"/>
      <c r="X38" s="7">
        <f t="shared" si="6"/>
        <v>-11838.42</v>
      </c>
      <c r="Y38" s="3"/>
      <c r="Z38" s="8">
        <f t="shared" si="7"/>
        <v>-0.45554285714285714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/>
      <c r="E39" s="3"/>
      <c r="F39" s="8">
        <f t="shared" si="0"/>
        <v>0</v>
      </c>
      <c r="G39" s="3"/>
      <c r="H39" s="7">
        <v>12835.5</v>
      </c>
      <c r="I39" s="3"/>
      <c r="J39" s="8">
        <f t="shared" si="1"/>
        <v>0.30241023466214306</v>
      </c>
      <c r="K39" s="3"/>
      <c r="L39" s="7">
        <f t="shared" si="2"/>
        <v>-12835.5</v>
      </c>
      <c r="M39" s="3"/>
      <c r="N39" s="8">
        <f t="shared" si="3"/>
        <v>-1</v>
      </c>
      <c r="O39" s="12"/>
      <c r="P39" s="7">
        <v>164.22</v>
      </c>
      <c r="Q39" s="3"/>
      <c r="R39" s="8">
        <f t="shared" si="4"/>
        <v>4.1109264228781994E-4</v>
      </c>
      <c r="S39" s="3"/>
      <c r="T39" s="7">
        <v>92524.5</v>
      </c>
      <c r="U39" s="3"/>
      <c r="V39" s="8">
        <f t="shared" si="5"/>
        <v>0.17626971078465925</v>
      </c>
      <c r="W39" s="3"/>
      <c r="X39" s="7">
        <f t="shared" si="6"/>
        <v>-92360.28</v>
      </c>
      <c r="Y39" s="3"/>
      <c r="Z39" s="8">
        <f t="shared" si="7"/>
        <v>-0.99822511875233044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100</v>
      </c>
      <c r="I42" s="2"/>
      <c r="J42" s="6">
        <f t="shared" si="1"/>
        <v>2.3560456130430683E-3</v>
      </c>
      <c r="K42" s="2"/>
      <c r="L42" s="2">
        <f t="shared" si="2"/>
        <v>-100</v>
      </c>
      <c r="M42" s="2"/>
      <c r="N42" s="6">
        <f t="shared" si="3"/>
        <v>-1</v>
      </c>
      <c r="O42" s="14"/>
      <c r="P42" s="2">
        <f>SUM(OSRRefP22_2x_0)</f>
        <v>251.18</v>
      </c>
      <c r="Q42" s="2"/>
      <c r="R42" s="6">
        <f t="shared" si="4"/>
        <v>6.2877998958625386E-4</v>
      </c>
      <c r="S42" s="2"/>
      <c r="T42" s="2">
        <f>SUM(OSRRefT22_2x_0)</f>
        <v>1000</v>
      </c>
      <c r="U42" s="2"/>
      <c r="V42" s="6">
        <f t="shared" si="5"/>
        <v>1.9051138972343462E-3</v>
      </c>
      <c r="W42" s="2"/>
      <c r="X42" s="2">
        <f t="shared" si="6"/>
        <v>-748.81999999999994</v>
      </c>
      <c r="Y42" s="2"/>
      <c r="Z42" s="6">
        <f t="shared" si="7"/>
        <v>-0.74881999999999993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/>
      <c r="E43" s="3"/>
      <c r="F43" s="8">
        <f t="shared" si="0"/>
        <v>0</v>
      </c>
      <c r="G43" s="3"/>
      <c r="H43" s="7">
        <v>100</v>
      </c>
      <c r="I43" s="3"/>
      <c r="J43" s="8">
        <f t="shared" si="1"/>
        <v>2.3560456130430683E-3</v>
      </c>
      <c r="K43" s="3"/>
      <c r="L43" s="7">
        <f t="shared" si="2"/>
        <v>-100</v>
      </c>
      <c r="M43" s="3"/>
      <c r="N43" s="8">
        <f t="shared" si="3"/>
        <v>-1</v>
      </c>
      <c r="O43" s="12"/>
      <c r="P43" s="7">
        <v>251.18</v>
      </c>
      <c r="Q43" s="3"/>
      <c r="R43" s="8">
        <f t="shared" si="4"/>
        <v>6.2877998958625386E-4</v>
      </c>
      <c r="S43" s="3"/>
      <c r="T43" s="7">
        <v>1000</v>
      </c>
      <c r="U43" s="3"/>
      <c r="V43" s="8">
        <f t="shared" si="5"/>
        <v>1.9051138972343462E-3</v>
      </c>
      <c r="W43" s="3"/>
      <c r="X43" s="7">
        <f t="shared" si="6"/>
        <v>-748.81999999999994</v>
      </c>
      <c r="Y43" s="3"/>
      <c r="Z43" s="8">
        <f t="shared" si="7"/>
        <v>-0.74881999999999993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579.9</v>
      </c>
      <c r="E44" s="2"/>
      <c r="F44" s="6">
        <f t="shared" si="0"/>
        <v>2.3134000877647904E-2</v>
      </c>
      <c r="G44" s="2"/>
      <c r="H44" s="2">
        <f>SUM(OSRRefH22_3x_0)</f>
        <v>1250</v>
      </c>
      <c r="I44" s="2"/>
      <c r="J44" s="6">
        <f t="shared" si="1"/>
        <v>2.9450570163038356E-2</v>
      </c>
      <c r="K44" s="2"/>
      <c r="L44" s="2">
        <f t="shared" si="2"/>
        <v>-670.1</v>
      </c>
      <c r="M44" s="2"/>
      <c r="N44" s="6">
        <f t="shared" si="3"/>
        <v>-0.53608</v>
      </c>
      <c r="O44" s="14"/>
      <c r="P44" s="2">
        <f>SUM(OSRRefP22_3x_0)</f>
        <v>4014.13</v>
      </c>
      <c r="Q44" s="2"/>
      <c r="R44" s="6">
        <f t="shared" si="4"/>
        <v>1.0048589137661714E-2</v>
      </c>
      <c r="S44" s="2"/>
      <c r="T44" s="2">
        <f>SUM(OSRRefT22_3x_0)</f>
        <v>12500</v>
      </c>
      <c r="U44" s="2"/>
      <c r="V44" s="6">
        <f t="shared" si="5"/>
        <v>2.3813923715429328E-2</v>
      </c>
      <c r="W44" s="2"/>
      <c r="X44" s="2">
        <f t="shared" si="6"/>
        <v>-8485.869999999999</v>
      </c>
      <c r="Y44" s="2"/>
      <c r="Z44" s="6">
        <f t="shared" si="7"/>
        <v>-0.67886959999999996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7">
        <v>579.9</v>
      </c>
      <c r="E45" s="3"/>
      <c r="F45" s="8">
        <f t="shared" si="0"/>
        <v>2.3134000877647904E-2</v>
      </c>
      <c r="G45" s="3"/>
      <c r="H45" s="7">
        <v>1250</v>
      </c>
      <c r="I45" s="3"/>
      <c r="J45" s="8">
        <f t="shared" si="1"/>
        <v>2.9450570163038356E-2</v>
      </c>
      <c r="K45" s="3"/>
      <c r="L45" s="7">
        <f t="shared" si="2"/>
        <v>-670.1</v>
      </c>
      <c r="M45" s="3"/>
      <c r="N45" s="8">
        <f t="shared" si="3"/>
        <v>-0.53608</v>
      </c>
      <c r="O45" s="12"/>
      <c r="P45" s="7">
        <v>4014.13</v>
      </c>
      <c r="Q45" s="3"/>
      <c r="R45" s="8">
        <f t="shared" si="4"/>
        <v>1.0048589137661714E-2</v>
      </c>
      <c r="S45" s="3"/>
      <c r="T45" s="7">
        <v>12500</v>
      </c>
      <c r="U45" s="3"/>
      <c r="V45" s="8">
        <f t="shared" si="5"/>
        <v>2.3813923715429328E-2</v>
      </c>
      <c r="W45" s="3"/>
      <c r="X45" s="7">
        <f t="shared" si="6"/>
        <v>-8485.869999999999</v>
      </c>
      <c r="Y45" s="3"/>
      <c r="Z45" s="8">
        <f t="shared" si="7"/>
        <v>-0.67886959999999996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4.7120912260861369E-4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200</v>
      </c>
      <c r="U46" s="2"/>
      <c r="V46" s="6">
        <f t="shared" si="5"/>
        <v>3.8102277944686926E-4</v>
      </c>
      <c r="W46" s="2"/>
      <c r="X46" s="2">
        <f t="shared" si="6"/>
        <v>-200</v>
      </c>
      <c r="Y46" s="2"/>
      <c r="Z46" s="6">
        <f t="shared" si="7"/>
        <v>-1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>
        <v>20</v>
      </c>
      <c r="I47" s="3"/>
      <c r="J47" s="8">
        <f t="shared" si="1"/>
        <v>4.7120912260861369E-4</v>
      </c>
      <c r="K47" s="3"/>
      <c r="L47" s="7">
        <f t="shared" si="2"/>
        <v>-20</v>
      </c>
      <c r="M47" s="3"/>
      <c r="N47" s="8">
        <f t="shared" si="3"/>
        <v>-1</v>
      </c>
      <c r="O47" s="12"/>
      <c r="P47" s="7"/>
      <c r="Q47" s="3"/>
      <c r="R47" s="8">
        <f t="shared" si="4"/>
        <v>0</v>
      </c>
      <c r="S47" s="3"/>
      <c r="T47" s="7">
        <v>200</v>
      </c>
      <c r="U47" s="3"/>
      <c r="V47" s="8">
        <f t="shared" si="5"/>
        <v>3.8102277944686926E-4</v>
      </c>
      <c r="W47" s="3"/>
      <c r="X47" s="7">
        <f t="shared" si="6"/>
        <v>-200</v>
      </c>
      <c r="Y47" s="3"/>
      <c r="Z47" s="8">
        <f t="shared" si="7"/>
        <v>-1</v>
      </c>
    </row>
    <row r="48" spans="1:26" s="69" customFormat="1" ht="15" customHeight="1" outlineLevel="1" collapsed="1" x14ac:dyDescent="0.3">
      <c r="A48" s="25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2.3560456130430684E-4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1.5520487042896624E-6</v>
      </c>
      <c r="S48" s="2"/>
      <c r="T48" s="2">
        <f>SUM(OSRRefT22_5x_0)</f>
        <v>100</v>
      </c>
      <c r="U48" s="2"/>
      <c r="V48" s="6">
        <f t="shared" si="5"/>
        <v>1.9051138972343463E-4</v>
      </c>
      <c r="W48" s="2"/>
      <c r="X48" s="2">
        <f t="shared" si="6"/>
        <v>-99.38</v>
      </c>
      <c r="Y48" s="2"/>
      <c r="Z48" s="6">
        <f t="shared" si="7"/>
        <v>-0.99379999999999991</v>
      </c>
    </row>
    <row r="49" spans="1:26" s="70" customFormat="1" ht="15" hidden="1" customHeight="1" outlineLevel="2" x14ac:dyDescent="0.3">
      <c r="A49" s="26"/>
      <c r="B49" s="12" t="str">
        <f>CONCATENATE("          ","6305"," - ","FREIGHT OUT")</f>
        <v xml:space="preserve">          6305 - FREIGHT OUT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0.62</v>
      </c>
      <c r="Q49" s="3"/>
      <c r="R49" s="8">
        <f t="shared" si="4"/>
        <v>1.5520487042896624E-6</v>
      </c>
      <c r="S49" s="3"/>
      <c r="T49" s="7"/>
      <c r="U49" s="3"/>
      <c r="V49" s="8">
        <f t="shared" si="5"/>
        <v>0</v>
      </c>
      <c r="W49" s="3"/>
      <c r="X49" s="7">
        <f t="shared" si="6"/>
        <v>0.62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","6307"," - ","POSTAGE")</f>
        <v xml:space="preserve">          6307 - POSTAGE</v>
      </c>
      <c r="C50" s="12"/>
      <c r="D50" s="7"/>
      <c r="E50" s="3"/>
      <c r="F50" s="8">
        <f t="shared" si="0"/>
        <v>0</v>
      </c>
      <c r="G50" s="3"/>
      <c r="H50" s="7">
        <v>10</v>
      </c>
      <c r="I50" s="3"/>
      <c r="J50" s="8">
        <f t="shared" si="1"/>
        <v>2.3560456130430684E-4</v>
      </c>
      <c r="K50" s="3"/>
      <c r="L50" s="7">
        <f t="shared" si="2"/>
        <v>-10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100</v>
      </c>
      <c r="U50" s="3"/>
      <c r="V50" s="8">
        <f t="shared" si="5"/>
        <v>1.9051138972343463E-4</v>
      </c>
      <c r="W50" s="3"/>
      <c r="X50" s="7">
        <f t="shared" si="6"/>
        <v>-100</v>
      </c>
      <c r="Y50" s="3"/>
      <c r="Z50" s="8">
        <f t="shared" si="7"/>
        <v>-1</v>
      </c>
    </row>
    <row r="51" spans="1:26" s="69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1.1780228065215342E-3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500</v>
      </c>
      <c r="U51" s="2"/>
      <c r="V51" s="6">
        <f t="shared" ref="V51:V70" si="13">IF(T$12=0,0,T51/T$12)</f>
        <v>9.5255694861717311E-4</v>
      </c>
      <c r="W51" s="2"/>
      <c r="X51" s="2">
        <f t="shared" ref="X51:X70" si="14">+P51-T51</f>
        <v>-500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7"/>
      <c r="E52" s="3"/>
      <c r="F52" s="8">
        <f t="shared" si="8"/>
        <v>0</v>
      </c>
      <c r="G52" s="3"/>
      <c r="H52" s="7">
        <v>50</v>
      </c>
      <c r="I52" s="3"/>
      <c r="J52" s="8">
        <f t="shared" si="9"/>
        <v>1.1780228065215342E-3</v>
      </c>
      <c r="K52" s="3"/>
      <c r="L52" s="7">
        <f t="shared" si="10"/>
        <v>-50</v>
      </c>
      <c r="M52" s="3"/>
      <c r="N52" s="8">
        <f t="shared" si="11"/>
        <v>-1</v>
      </c>
      <c r="O52" s="12"/>
      <c r="P52" s="7"/>
      <c r="Q52" s="3"/>
      <c r="R52" s="8">
        <f t="shared" si="12"/>
        <v>0</v>
      </c>
      <c r="S52" s="3"/>
      <c r="T52" s="7">
        <v>500</v>
      </c>
      <c r="U52" s="3"/>
      <c r="V52" s="8">
        <f t="shared" si="13"/>
        <v>9.5255694861717311E-4</v>
      </c>
      <c r="W52" s="3"/>
      <c r="X52" s="7">
        <f t="shared" si="14"/>
        <v>-500</v>
      </c>
      <c r="Y52" s="3"/>
      <c r="Z52" s="8">
        <f t="shared" si="15"/>
        <v>-1</v>
      </c>
    </row>
    <row r="53" spans="1:26" s="69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1.5729844018031675E-3</v>
      </c>
      <c r="G53" s="2"/>
      <c r="H53" s="2">
        <f>SUM(OSRRefH22_7x_0)</f>
        <v>40</v>
      </c>
      <c r="I53" s="2"/>
      <c r="J53" s="6">
        <f t="shared" si="9"/>
        <v>9.4241824521722737E-4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394.3</v>
      </c>
      <c r="Q53" s="2"/>
      <c r="R53" s="6">
        <f t="shared" si="12"/>
        <v>9.8705290984099007E-4</v>
      </c>
      <c r="S53" s="2"/>
      <c r="T53" s="2">
        <f>SUM(OSRRefT22_7x_0)</f>
        <v>400</v>
      </c>
      <c r="U53" s="2"/>
      <c r="V53" s="6">
        <f t="shared" si="13"/>
        <v>7.6204555889373851E-4</v>
      </c>
      <c r="W53" s="2"/>
      <c r="X53" s="2">
        <f t="shared" si="14"/>
        <v>-5.6999999999999886</v>
      </c>
      <c r="Y53" s="2"/>
      <c r="Z53" s="6">
        <f t="shared" si="15"/>
        <v>-1.4249999999999971E-2</v>
      </c>
    </row>
    <row r="54" spans="1:26" s="70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7">
        <v>39.43</v>
      </c>
      <c r="E54" s="3"/>
      <c r="F54" s="8">
        <f t="shared" si="8"/>
        <v>1.5729844018031675E-3</v>
      </c>
      <c r="G54" s="3"/>
      <c r="H54" s="7">
        <v>40</v>
      </c>
      <c r="I54" s="3"/>
      <c r="J54" s="8">
        <f t="shared" si="9"/>
        <v>9.4241824521722737E-4</v>
      </c>
      <c r="K54" s="3"/>
      <c r="L54" s="7">
        <f t="shared" si="10"/>
        <v>-0.57000000000000028</v>
      </c>
      <c r="M54" s="3"/>
      <c r="N54" s="8">
        <f t="shared" si="11"/>
        <v>-1.4250000000000007E-2</v>
      </c>
      <c r="O54" s="12"/>
      <c r="P54" s="7">
        <v>394.3</v>
      </c>
      <c r="Q54" s="3"/>
      <c r="R54" s="8">
        <f t="shared" si="12"/>
        <v>9.8705290984099007E-4</v>
      </c>
      <c r="S54" s="3"/>
      <c r="T54" s="7">
        <v>400</v>
      </c>
      <c r="U54" s="3"/>
      <c r="V54" s="8">
        <f t="shared" si="13"/>
        <v>7.6204555889373851E-4</v>
      </c>
      <c r="W54" s="3"/>
      <c r="X54" s="7">
        <f t="shared" si="14"/>
        <v>-5.6999999999999886</v>
      </c>
      <c r="Y54" s="3"/>
      <c r="Z54" s="8">
        <f t="shared" si="15"/>
        <v>-1.4249999999999971E-2</v>
      </c>
    </row>
    <row r="55" spans="1:26" s="69" customFormat="1" ht="15" customHeight="1" outlineLevel="1" collapsed="1" x14ac:dyDescent="0.3">
      <c r="A55" s="25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3.1914469222483741E-2</v>
      </c>
      <c r="G55" s="2"/>
      <c r="H55" s="2">
        <f>SUM(OSRRefH22_8x_0)</f>
        <v>800</v>
      </c>
      <c r="I55" s="2"/>
      <c r="J55" s="6">
        <f t="shared" si="9"/>
        <v>1.8848364904344547E-2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8000</v>
      </c>
      <c r="Q55" s="2"/>
      <c r="R55" s="6">
        <f t="shared" si="12"/>
        <v>2.0026434894060158E-2</v>
      </c>
      <c r="S55" s="2"/>
      <c r="T55" s="2">
        <f>SUM(OSRRefT22_8x_0)</f>
        <v>8000</v>
      </c>
      <c r="U55" s="2"/>
      <c r="V55" s="6">
        <f t="shared" si="13"/>
        <v>1.524091117787477E-2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3">
      <c r="A56" s="26"/>
      <c r="B56" s="12" t="str">
        <f>CONCATENATE("          ","6273"," - ","RENT")</f>
        <v xml:space="preserve">          6273 - RENT</v>
      </c>
      <c r="C56" s="12"/>
      <c r="D56" s="7">
        <v>800</v>
      </c>
      <c r="E56" s="3"/>
      <c r="F56" s="8">
        <f t="shared" si="8"/>
        <v>3.1914469222483741E-2</v>
      </c>
      <c r="G56" s="3"/>
      <c r="H56" s="7">
        <v>800</v>
      </c>
      <c r="I56" s="3"/>
      <c r="J56" s="8">
        <f t="shared" si="9"/>
        <v>1.8848364904344547E-2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8000</v>
      </c>
      <c r="Q56" s="3"/>
      <c r="R56" s="8">
        <f t="shared" si="12"/>
        <v>2.0026434894060158E-2</v>
      </c>
      <c r="S56" s="3"/>
      <c r="T56" s="7">
        <v>8000</v>
      </c>
      <c r="U56" s="3"/>
      <c r="V56" s="8">
        <f t="shared" si="13"/>
        <v>1.524091117787477E-2</v>
      </c>
      <c r="W56" s="3"/>
      <c r="X56" s="7">
        <f t="shared" si="14"/>
        <v>0</v>
      </c>
      <c r="Y56" s="3"/>
      <c r="Z56" s="8">
        <f t="shared" si="15"/>
        <v>0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0</v>
      </c>
      <c r="E57" s="2"/>
      <c r="F57" s="6">
        <f t="shared" si="8"/>
        <v>0</v>
      </c>
      <c r="G57" s="2"/>
      <c r="H57" s="2">
        <f>SUM(OSRRefH22_9x_0)</f>
        <v>3200</v>
      </c>
      <c r="I57" s="2"/>
      <c r="J57" s="6">
        <f t="shared" si="9"/>
        <v>7.5393459617378186E-2</v>
      </c>
      <c r="K57" s="2"/>
      <c r="L57" s="2">
        <f t="shared" si="10"/>
        <v>-3200</v>
      </c>
      <c r="M57" s="2"/>
      <c r="N57" s="6">
        <f t="shared" si="11"/>
        <v>-1</v>
      </c>
      <c r="O57" s="14"/>
      <c r="P57" s="2">
        <f>SUM(OSRRefP22_9x_0)</f>
        <v>131139.97</v>
      </c>
      <c r="Q57" s="2"/>
      <c r="R57" s="6">
        <f t="shared" si="12"/>
        <v>0.32828325890175031</v>
      </c>
      <c r="S57" s="2"/>
      <c r="T57" s="2">
        <f>SUM(OSRRefT22_9x_0)</f>
        <v>157000</v>
      </c>
      <c r="U57" s="2"/>
      <c r="V57" s="6">
        <f t="shared" si="13"/>
        <v>0.29910288186579237</v>
      </c>
      <c r="W57" s="2"/>
      <c r="X57" s="2">
        <f t="shared" si="14"/>
        <v>-25860.03</v>
      </c>
      <c r="Y57" s="2"/>
      <c r="Z57" s="6">
        <f t="shared" si="15"/>
        <v>-0.16471356687898089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7"/>
      <c r="E58" s="3"/>
      <c r="F58" s="8">
        <f t="shared" si="8"/>
        <v>0</v>
      </c>
      <c r="G58" s="3"/>
      <c r="H58" s="7"/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>
        <v>7583.7</v>
      </c>
      <c r="Q58" s="3"/>
      <c r="R58" s="8">
        <f t="shared" si="12"/>
        <v>1.8984309288260504E-2</v>
      </c>
      <c r="S58" s="3"/>
      <c r="T58" s="7">
        <v>125000</v>
      </c>
      <c r="U58" s="3"/>
      <c r="V58" s="8">
        <f t="shared" si="13"/>
        <v>0.23813923715429328</v>
      </c>
      <c r="W58" s="3"/>
      <c r="X58" s="7">
        <f t="shared" si="14"/>
        <v>-117416.3</v>
      </c>
      <c r="Y58" s="3"/>
      <c r="Z58" s="8">
        <f t="shared" si="15"/>
        <v>-0.93933040000000001</v>
      </c>
    </row>
    <row r="59" spans="1:26" s="70" customFormat="1" ht="15" hidden="1" customHeight="1" outlineLevel="2" x14ac:dyDescent="0.3">
      <c r="A59" s="26"/>
      <c r="B59" s="12" t="str">
        <f>CONCATENATE("          ","6372"," - ","COMPUTER HARDWARE MAINTENANCE")</f>
        <v xml:space="preserve">          6372 - COMPUTER HARDWARE MAINTENANCE</v>
      </c>
      <c r="C59" s="12"/>
      <c r="D59" s="7"/>
      <c r="E59" s="3"/>
      <c r="F59" s="8">
        <f t="shared" si="8"/>
        <v>0</v>
      </c>
      <c r="G59" s="3"/>
      <c r="H59" s="7">
        <v>3200</v>
      </c>
      <c r="I59" s="3"/>
      <c r="J59" s="8">
        <f t="shared" si="9"/>
        <v>7.5393459617378186E-2</v>
      </c>
      <c r="K59" s="3"/>
      <c r="L59" s="7">
        <f t="shared" si="10"/>
        <v>-3200</v>
      </c>
      <c r="M59" s="3"/>
      <c r="N59" s="8">
        <f t="shared" si="11"/>
        <v>-1</v>
      </c>
      <c r="O59" s="12"/>
      <c r="P59" s="7">
        <v>1555.65</v>
      </c>
      <c r="Q59" s="3"/>
      <c r="R59" s="8">
        <f t="shared" si="12"/>
        <v>3.8942654303680863E-3</v>
      </c>
      <c r="S59" s="3"/>
      <c r="T59" s="7">
        <v>32000</v>
      </c>
      <c r="U59" s="3"/>
      <c r="V59" s="8">
        <f t="shared" si="13"/>
        <v>6.0963644711499079E-2</v>
      </c>
      <c r="W59" s="3"/>
      <c r="X59" s="7">
        <f t="shared" si="14"/>
        <v>-30444.35</v>
      </c>
      <c r="Y59" s="3"/>
      <c r="Z59" s="8">
        <f t="shared" si="15"/>
        <v>-0.9513859375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122000.62</v>
      </c>
      <c r="Q60" s="3"/>
      <c r="R60" s="8">
        <f t="shared" si="12"/>
        <v>0.30540468418312172</v>
      </c>
      <c r="S60" s="3"/>
      <c r="T60" s="7"/>
      <c r="U60" s="3"/>
      <c r="V60" s="8">
        <f t="shared" si="13"/>
        <v>0</v>
      </c>
      <c r="W60" s="3"/>
      <c r="X60" s="7">
        <f t="shared" si="14"/>
        <v>122000.62</v>
      </c>
      <c r="Y60" s="3"/>
      <c r="Z60" s="8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0</v>
      </c>
      <c r="E61" s="2"/>
      <c r="F61" s="6">
        <f t="shared" si="8"/>
        <v>0</v>
      </c>
      <c r="G61" s="2"/>
      <c r="H61" s="2">
        <f>SUM(OSRRefH22_10x_0)</f>
        <v>85</v>
      </c>
      <c r="I61" s="2"/>
      <c r="J61" s="6">
        <f t="shared" si="9"/>
        <v>2.0026387710866084E-3</v>
      </c>
      <c r="K61" s="2"/>
      <c r="L61" s="2">
        <f t="shared" si="10"/>
        <v>-85</v>
      </c>
      <c r="M61" s="2"/>
      <c r="N61" s="6">
        <f t="shared" si="11"/>
        <v>-1</v>
      </c>
      <c r="O61" s="14"/>
      <c r="P61" s="2">
        <f>SUM(OSRRefP22_10x_0)</f>
        <v>0</v>
      </c>
      <c r="Q61" s="2"/>
      <c r="R61" s="6">
        <f t="shared" si="12"/>
        <v>0</v>
      </c>
      <c r="S61" s="2"/>
      <c r="T61" s="2">
        <f>SUM(OSRRefT22_10x_0)</f>
        <v>850</v>
      </c>
      <c r="U61" s="2"/>
      <c r="V61" s="6">
        <f t="shared" si="13"/>
        <v>1.6193468126491943E-3</v>
      </c>
      <c r="W61" s="2"/>
      <c r="X61" s="2">
        <f t="shared" si="14"/>
        <v>-850</v>
      </c>
      <c r="Y61" s="2"/>
      <c r="Z61" s="6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7"/>
      <c r="E62" s="3"/>
      <c r="F62" s="8">
        <f t="shared" si="8"/>
        <v>0</v>
      </c>
      <c r="G62" s="3"/>
      <c r="H62" s="7">
        <v>85</v>
      </c>
      <c r="I62" s="3"/>
      <c r="J62" s="8">
        <f t="shared" si="9"/>
        <v>2.0026387710866084E-3</v>
      </c>
      <c r="K62" s="3"/>
      <c r="L62" s="7">
        <f t="shared" si="10"/>
        <v>-85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850</v>
      </c>
      <c r="U62" s="3"/>
      <c r="V62" s="8">
        <f t="shared" si="13"/>
        <v>1.6193468126491943E-3</v>
      </c>
      <c r="W62" s="3"/>
      <c r="X62" s="7">
        <f t="shared" si="14"/>
        <v>-850</v>
      </c>
      <c r="Y62" s="3"/>
      <c r="Z62" s="8">
        <f t="shared" si="15"/>
        <v>-1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23.08</v>
      </c>
      <c r="E63" s="2"/>
      <c r="F63" s="6">
        <f t="shared" si="8"/>
        <v>9.2073243706865596E-4</v>
      </c>
      <c r="G63" s="2"/>
      <c r="H63" s="2">
        <f>SUM(OSRRefH22_11x_0)</f>
        <v>5800</v>
      </c>
      <c r="I63" s="2"/>
      <c r="J63" s="6">
        <f t="shared" si="9"/>
        <v>0.13665064555649797</v>
      </c>
      <c r="K63" s="2"/>
      <c r="L63" s="2">
        <f t="shared" si="10"/>
        <v>-5776.92</v>
      </c>
      <c r="M63" s="2"/>
      <c r="N63" s="6">
        <f t="shared" si="11"/>
        <v>-0.99602068965517243</v>
      </c>
      <c r="O63" s="14"/>
      <c r="P63" s="2">
        <f>SUM(OSRRefP22_11x_0)</f>
        <v>29615.53</v>
      </c>
      <c r="Q63" s="2"/>
      <c r="R63" s="6">
        <f t="shared" si="12"/>
        <v>7.4136685424760679E-2</v>
      </c>
      <c r="S63" s="2"/>
      <c r="T63" s="2">
        <f>SUM(OSRRefT22_11x_0)</f>
        <v>58000</v>
      </c>
      <c r="U63" s="2"/>
      <c r="V63" s="6">
        <f t="shared" si="13"/>
        <v>0.11049660603959208</v>
      </c>
      <c r="W63" s="2"/>
      <c r="X63" s="2">
        <f t="shared" si="14"/>
        <v>-28384.47</v>
      </c>
      <c r="Y63" s="2"/>
      <c r="Z63" s="6">
        <f t="shared" si="15"/>
        <v>-0.48938741379310347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>
        <v>5800</v>
      </c>
      <c r="I64" s="3"/>
      <c r="J64" s="8">
        <f t="shared" si="9"/>
        <v>0.13665064555649797</v>
      </c>
      <c r="K64" s="3"/>
      <c r="L64" s="7">
        <f t="shared" si="10"/>
        <v>-5800</v>
      </c>
      <c r="M64" s="3"/>
      <c r="N64" s="8">
        <f t="shared" si="11"/>
        <v>-1</v>
      </c>
      <c r="O64" s="12"/>
      <c r="P64" s="7"/>
      <c r="Q64" s="3"/>
      <c r="R64" s="8">
        <f t="shared" si="12"/>
        <v>0</v>
      </c>
      <c r="S64" s="3"/>
      <c r="T64" s="7">
        <v>58000</v>
      </c>
      <c r="U64" s="3"/>
      <c r="V64" s="8">
        <f t="shared" si="13"/>
        <v>0.11049660603959208</v>
      </c>
      <c r="W64" s="3"/>
      <c r="X64" s="7">
        <f t="shared" si="14"/>
        <v>-58000</v>
      </c>
      <c r="Y64" s="3"/>
      <c r="Z64" s="8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>
        <v>23.08</v>
      </c>
      <c r="E65" s="3"/>
      <c r="F65" s="8">
        <f t="shared" si="8"/>
        <v>9.2073243706865596E-4</v>
      </c>
      <c r="G65" s="3"/>
      <c r="H65" s="7"/>
      <c r="I65" s="3"/>
      <c r="J65" s="8">
        <f t="shared" si="9"/>
        <v>0</v>
      </c>
      <c r="K65" s="3"/>
      <c r="L65" s="7">
        <f t="shared" si="10"/>
        <v>23.08</v>
      </c>
      <c r="M65" s="3"/>
      <c r="N65" s="8">
        <f t="shared" si="11"/>
        <v>0</v>
      </c>
      <c r="O65" s="12"/>
      <c r="P65" s="7">
        <v>29590.18</v>
      </c>
      <c r="Q65" s="3"/>
      <c r="R65" s="8">
        <f t="shared" si="12"/>
        <v>7.4073226659190125E-2</v>
      </c>
      <c r="S65" s="3"/>
      <c r="T65" s="7"/>
      <c r="U65" s="3"/>
      <c r="V65" s="8">
        <f t="shared" si="13"/>
        <v>0</v>
      </c>
      <c r="W65" s="3"/>
      <c r="X65" s="7">
        <f t="shared" si="14"/>
        <v>29590.18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7"/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25.35</v>
      </c>
      <c r="Q66" s="3"/>
      <c r="R66" s="8">
        <f t="shared" si="12"/>
        <v>6.3458765570553134E-5</v>
      </c>
      <c r="S66" s="3"/>
      <c r="T66" s="7"/>
      <c r="U66" s="3"/>
      <c r="V66" s="8">
        <f t="shared" si="13"/>
        <v>0</v>
      </c>
      <c r="W66" s="3"/>
      <c r="X66" s="7">
        <f t="shared" si="14"/>
        <v>25.35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56.44</v>
      </c>
      <c r="E67" s="2"/>
      <c r="F67" s="6">
        <f t="shared" si="8"/>
        <v>2.2515658036462282E-3</v>
      </c>
      <c r="G67" s="2"/>
      <c r="H67" s="2">
        <f>SUM(OSRRefH22_12x_0)</f>
        <v>350</v>
      </c>
      <c r="I67" s="2"/>
      <c r="J67" s="6">
        <f t="shared" si="9"/>
        <v>8.2461596456507406E-3</v>
      </c>
      <c r="K67" s="2"/>
      <c r="L67" s="2">
        <f t="shared" si="10"/>
        <v>-293.56</v>
      </c>
      <c r="M67" s="2"/>
      <c r="N67" s="6">
        <f t="shared" si="11"/>
        <v>-0.83874285714285712</v>
      </c>
      <c r="O67" s="14"/>
      <c r="P67" s="2">
        <f>SUM(OSRRefP22_12x_0)</f>
        <v>423.69</v>
      </c>
      <c r="Q67" s="2"/>
      <c r="R67" s="6">
        <f t="shared" si="12"/>
        <v>1.0606250250330437E-3</v>
      </c>
      <c r="S67" s="2"/>
      <c r="T67" s="2">
        <f>SUM(OSRRefT22_12x_0)</f>
        <v>3500</v>
      </c>
      <c r="U67" s="2"/>
      <c r="V67" s="6">
        <f t="shared" si="13"/>
        <v>6.6678986403202111E-3</v>
      </c>
      <c r="W67" s="2"/>
      <c r="X67" s="2">
        <f t="shared" si="14"/>
        <v>-3076.31</v>
      </c>
      <c r="Y67" s="2"/>
      <c r="Z67" s="6">
        <f t="shared" si="15"/>
        <v>-0.87894571428571422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7">
        <v>56.44</v>
      </c>
      <c r="E68" s="3"/>
      <c r="F68" s="8">
        <f t="shared" si="8"/>
        <v>2.2515658036462282E-3</v>
      </c>
      <c r="G68" s="3"/>
      <c r="H68" s="7">
        <v>350</v>
      </c>
      <c r="I68" s="3"/>
      <c r="J68" s="8">
        <f t="shared" si="9"/>
        <v>8.2461596456507406E-3</v>
      </c>
      <c r="K68" s="3"/>
      <c r="L68" s="7">
        <f t="shared" si="10"/>
        <v>-293.56</v>
      </c>
      <c r="M68" s="3"/>
      <c r="N68" s="8">
        <f t="shared" si="11"/>
        <v>-0.83874285714285712</v>
      </c>
      <c r="O68" s="12"/>
      <c r="P68" s="7">
        <v>423.69</v>
      </c>
      <c r="Q68" s="3"/>
      <c r="R68" s="8">
        <f t="shared" si="12"/>
        <v>1.0606250250330437E-3</v>
      </c>
      <c r="S68" s="3"/>
      <c r="T68" s="7">
        <v>3500</v>
      </c>
      <c r="U68" s="3"/>
      <c r="V68" s="8">
        <f t="shared" si="13"/>
        <v>6.6678986403202111E-3</v>
      </c>
      <c r="W68" s="3"/>
      <c r="X68" s="7">
        <f t="shared" si="14"/>
        <v>-3076.31</v>
      </c>
      <c r="Y68" s="3"/>
      <c r="Z68" s="8">
        <f t="shared" si="15"/>
        <v>-0.87894571428571422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1500</v>
      </c>
      <c r="I69" s="2"/>
      <c r="J69" s="6">
        <f t="shared" si="9"/>
        <v>3.5340684195646024E-2</v>
      </c>
      <c r="K69" s="2"/>
      <c r="L69" s="2">
        <f t="shared" si="10"/>
        <v>-1500</v>
      </c>
      <c r="M69" s="2"/>
      <c r="N69" s="6">
        <f t="shared" si="11"/>
        <v>-1</v>
      </c>
      <c r="O69" s="14"/>
      <c r="P69" s="2">
        <f>SUM(OSRRefP22_13x_0)</f>
        <v>2000</v>
      </c>
      <c r="Q69" s="2"/>
      <c r="R69" s="6">
        <f t="shared" si="12"/>
        <v>5.0066087235150396E-3</v>
      </c>
      <c r="S69" s="2"/>
      <c r="T69" s="2">
        <f>SUM(OSRRefT22_13x_0)</f>
        <v>4500</v>
      </c>
      <c r="U69" s="2"/>
      <c r="V69" s="6">
        <f t="shared" si="13"/>
        <v>8.5730125375545578E-3</v>
      </c>
      <c r="W69" s="2"/>
      <c r="X69" s="2">
        <f t="shared" si="14"/>
        <v>-2500</v>
      </c>
      <c r="Y69" s="2"/>
      <c r="Z69" s="6">
        <f t="shared" si="15"/>
        <v>-0.55555555555555558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7"/>
      <c r="E70" s="3"/>
      <c r="F70" s="8">
        <f t="shared" si="8"/>
        <v>0</v>
      </c>
      <c r="G70" s="3"/>
      <c r="H70" s="7">
        <v>1500</v>
      </c>
      <c r="I70" s="3"/>
      <c r="J70" s="8">
        <f t="shared" si="9"/>
        <v>3.5340684195646024E-2</v>
      </c>
      <c r="K70" s="3"/>
      <c r="L70" s="7">
        <f t="shared" si="10"/>
        <v>-1500</v>
      </c>
      <c r="M70" s="3"/>
      <c r="N70" s="8">
        <f t="shared" si="11"/>
        <v>-1</v>
      </c>
      <c r="O70" s="12"/>
      <c r="P70" s="7">
        <v>2000</v>
      </c>
      <c r="Q70" s="3"/>
      <c r="R70" s="8">
        <f t="shared" si="12"/>
        <v>5.0066087235150396E-3</v>
      </c>
      <c r="S70" s="3"/>
      <c r="T70" s="7">
        <v>4500</v>
      </c>
      <c r="U70" s="3"/>
      <c r="V70" s="8">
        <f t="shared" si="13"/>
        <v>8.5730125375545578E-3</v>
      </c>
      <c r="W70" s="3"/>
      <c r="X70" s="7">
        <f t="shared" si="14"/>
        <v>-2500</v>
      </c>
      <c r="Y70" s="3"/>
      <c r="Z70" s="8">
        <f t="shared" si="15"/>
        <v>-0.55555555555555558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8" t="s">
        <v>291</v>
      </c>
      <c r="C72" s="11"/>
      <c r="D72" s="5">
        <f>SUM(OSRRefD25x_0)</f>
        <v>1642</v>
      </c>
      <c r="E72" s="5"/>
      <c r="F72" s="13">
        <f>IF(D$12=0,0,D72/D$12)</f>
        <v>6.5504448079147889E-2</v>
      </c>
      <c r="G72" s="5"/>
      <c r="H72" s="5">
        <f>SUM(OSRRefH25x_0)</f>
        <v>2400</v>
      </c>
      <c r="I72" s="5"/>
      <c r="J72" s="13">
        <f>IF(H$12=0,0,H72/H$12)</f>
        <v>5.6545094713033643E-2</v>
      </c>
      <c r="K72" s="5"/>
      <c r="L72" s="5">
        <f>+D72-H72</f>
        <v>-758</v>
      </c>
      <c r="M72" s="5"/>
      <c r="N72" s="13">
        <f>IF(H72=0,0,L72/H72)</f>
        <v>-0.31583333333333335</v>
      </c>
      <c r="O72" s="11"/>
      <c r="P72" s="5">
        <f>SUM(OSRRefP25x_0)</f>
        <v>11216.88</v>
      </c>
      <c r="Q72" s="5"/>
      <c r="R72" s="13">
        <f>IF(P$12=0,0,P72/P$12)</f>
        <v>2.8079264629310687E-2</v>
      </c>
      <c r="S72" s="5"/>
      <c r="T72" s="5">
        <f>SUM(OSRRefT25x_0)</f>
        <v>24000</v>
      </c>
      <c r="U72" s="5"/>
      <c r="V72" s="13">
        <f>IF(T$12=0,0,T72/T$12)</f>
        <v>4.5722733533624306E-2</v>
      </c>
      <c r="W72" s="5"/>
      <c r="X72" s="5">
        <f>+P72-T72</f>
        <v>-12783.12</v>
      </c>
      <c r="Y72" s="5"/>
      <c r="Z72" s="13">
        <f>IF(T72=0,0,X72/T72)</f>
        <v>-0.53263000000000005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--1642</f>
        <v>1642</v>
      </c>
      <c r="E73" s="3"/>
      <c r="F73" s="20">
        <f>IF(D$12=0,0,D73/D$12)</f>
        <v>6.5504448079147889E-2</v>
      </c>
      <c r="G73" s="3"/>
      <c r="H73" s="3">
        <v>2400</v>
      </c>
      <c r="I73" s="3"/>
      <c r="J73" s="20">
        <f>IF(H$12=0,0,H73/H$12)</f>
        <v>5.6545094713033643E-2</v>
      </c>
      <c r="K73" s="3"/>
      <c r="L73" s="3">
        <f>+D73-H73</f>
        <v>-758</v>
      </c>
      <c r="M73" s="3"/>
      <c r="N73" s="20">
        <f>IF(H73=0,0,L73/H73)</f>
        <v>-0.31583333333333335</v>
      </c>
      <c r="O73" s="12"/>
      <c r="P73" s="3">
        <f>--11216.88</f>
        <v>11216.88</v>
      </c>
      <c r="Q73" s="3"/>
      <c r="R73" s="20">
        <f>IF(P$12=0,0,P73/P$12)</f>
        <v>2.8079264629310687E-2</v>
      </c>
      <c r="S73" s="3"/>
      <c r="T73" s="3">
        <v>24000</v>
      </c>
      <c r="U73" s="3"/>
      <c r="V73" s="20">
        <f>IF(T$12=0,0,T73/T$12)</f>
        <v>4.5722733533624306E-2</v>
      </c>
      <c r="W73" s="3"/>
      <c r="X73" s="3">
        <f>+P73-T73</f>
        <v>-12783.12</v>
      </c>
      <c r="Y73" s="3"/>
      <c r="Z73" s="20">
        <f>IF(T73=0,0,X73/T73)</f>
        <v>-0.53263000000000005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292</v>
      </c>
      <c r="C75" s="27"/>
      <c r="D75" s="21">
        <f>+D17-D19+D72</f>
        <v>1433.0499999999993</v>
      </c>
      <c r="E75" s="15"/>
      <c r="F75" s="23">
        <f>IF(D$12=0,0,D75/D$12)</f>
        <v>5.7168787649100383E-2</v>
      </c>
      <c r="G75" s="15"/>
      <c r="H75" s="21">
        <f>+H17-H19+H72</f>
        <v>4337.5972385278801</v>
      </c>
      <c r="I75" s="15"/>
      <c r="J75" s="23">
        <f>IF(H$12=0,0,H75/H$12)</f>
        <v>0.1021957694498134</v>
      </c>
      <c r="K75" s="17"/>
      <c r="L75" s="21">
        <f>+D75-H75</f>
        <v>-2904.5472385278808</v>
      </c>
      <c r="M75" s="17"/>
      <c r="N75" s="23">
        <f>IF(H75=0,0,L75/H75)</f>
        <v>-0.66962123931857809</v>
      </c>
      <c r="O75" s="28"/>
      <c r="P75" s="21">
        <f>+P17-P19+P72</f>
        <v>44684.270000000011</v>
      </c>
      <c r="Q75" s="15"/>
      <c r="R75" s="23">
        <f>IF(P$12=0,0,P75/P$12)</f>
        <v>0.11185832799295073</v>
      </c>
      <c r="S75" s="15"/>
      <c r="T75" s="21">
        <f>+T17-T19+T72</f>
        <v>53646.887464045431</v>
      </c>
      <c r="U75" s="15"/>
      <c r="V75" s="23">
        <f>IF(T$12=0,0,T75/T$12)</f>
        <v>0.10220343085111998</v>
      </c>
      <c r="W75" s="17"/>
      <c r="X75" s="21">
        <f>+P75-T75</f>
        <v>-8962.6174640454192</v>
      </c>
      <c r="Y75" s="17"/>
      <c r="Z75" s="23">
        <f>IF(T75=0,0,X75/T75)</f>
        <v>-0.1670668679530054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569.41999999999996</v>
      </c>
      <c r="E77" s="5"/>
      <c r="F77" s="13">
        <f>IF(D$12=0,0,D77/D$12)</f>
        <v>2.2715921330833364E-2</v>
      </c>
      <c r="G77" s="5"/>
      <c r="H77" s="5">
        <v>5816</v>
      </c>
      <c r="I77" s="5"/>
      <c r="J77" s="13">
        <f>IF(H$12=0,0,H77/H$12)</f>
        <v>0.13702761285458487</v>
      </c>
      <c r="K77" s="5"/>
      <c r="L77" s="5">
        <f>+D77-H77</f>
        <v>-5246.58</v>
      </c>
      <c r="M77" s="5"/>
      <c r="N77" s="13">
        <f>IF(H77=0,0,L77/H77)</f>
        <v>-0.90209422283356255</v>
      </c>
      <c r="O77" s="11"/>
      <c r="P77" s="5">
        <v>45253.74</v>
      </c>
      <c r="Q77" s="5"/>
      <c r="R77" s="13">
        <f>IF(P$12=0,0,P77/P$12)</f>
        <v>0.11328388472784075</v>
      </c>
      <c r="S77" s="5"/>
      <c r="T77" s="5">
        <v>64571</v>
      </c>
      <c r="U77" s="5"/>
      <c r="V77" s="13">
        <f>IF(T$12=0,0,T77/T$12)</f>
        <v>0.12301510945831896</v>
      </c>
      <c r="W77" s="5"/>
      <c r="X77" s="5">
        <f>+P77-T77</f>
        <v>-19317.260000000002</v>
      </c>
      <c r="Y77" s="5"/>
      <c r="Z77" s="13">
        <f>IF(T77=0,0,X77/T77)</f>
        <v>-0.29916309179043227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7" t="s">
        <v>294</v>
      </c>
      <c r="C79" s="27"/>
      <c r="D79" s="29">
        <f>+D75-D77</f>
        <v>863.62999999999931</v>
      </c>
      <c r="E79" s="15"/>
      <c r="F79" s="30">
        <f>IF(D$12=0,0,D79/D$12)</f>
        <v>3.4452866318267016E-2</v>
      </c>
      <c r="G79" s="15"/>
      <c r="H79" s="29">
        <f>+H75-H77</f>
        <v>-1478.4027614721199</v>
      </c>
      <c r="I79" s="15"/>
      <c r="J79" s="30">
        <f>IF(H$12=0,0,H79/H$12)</f>
        <v>-3.4831843404771461E-2</v>
      </c>
      <c r="K79" s="17"/>
      <c r="L79" s="29">
        <f>D79-H79</f>
        <v>2342.0327614721191</v>
      </c>
      <c r="M79" s="17"/>
      <c r="N79" s="30">
        <f>IF(H79=0,0,L79/H79)</f>
        <v>-1.5841642227048056</v>
      </c>
      <c r="O79" s="28"/>
      <c r="P79" s="29">
        <f>+P75-P77</f>
        <v>-569.46999999998661</v>
      </c>
      <c r="Q79" s="15"/>
      <c r="R79" s="30">
        <f>IF(P$12=0,0,P79/P$12)</f>
        <v>-1.4255567348900214E-3</v>
      </c>
      <c r="S79" s="15"/>
      <c r="T79" s="29">
        <f>+T75-T77</f>
        <v>-10924.112535954569</v>
      </c>
      <c r="U79" s="15"/>
      <c r="V79" s="30">
        <f>IF(T$12=0,0,T79/T$12)</f>
        <v>-2.0811678607198986E-2</v>
      </c>
      <c r="W79" s="17"/>
      <c r="X79" s="29">
        <f>P79-T79</f>
        <v>10354.642535954583</v>
      </c>
      <c r="Y79" s="17"/>
      <c r="Z79" s="30">
        <f>IF(T79=0,0,X79/T79)</f>
        <v>-0.94787036492660726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297</v>
      </c>
      <c r="C82" s="27"/>
      <c r="D82" s="32">
        <f>SUM(D79:D81)</f>
        <v>863.62999999999931</v>
      </c>
      <c r="E82" s="15"/>
      <c r="F82" s="34">
        <f>IF(D$12=0,0,D82/D$12)</f>
        <v>3.4452866318267016E-2</v>
      </c>
      <c r="G82" s="15"/>
      <c r="H82" s="32">
        <f>SUM(H79:H81)</f>
        <v>-1478.4027614721199</v>
      </c>
      <c r="I82" s="15"/>
      <c r="J82" s="34">
        <f>IF(H$12=0,0,H82/H$12)</f>
        <v>-3.4831843404771461E-2</v>
      </c>
      <c r="K82" s="17"/>
      <c r="L82" s="32">
        <f>+D82-H82</f>
        <v>2342.0327614721191</v>
      </c>
      <c r="M82" s="17"/>
      <c r="N82" s="34">
        <f>IF(H82=0,0,L82/H82)</f>
        <v>-1.5841642227048056</v>
      </c>
      <c r="O82" s="28"/>
      <c r="P82" s="32">
        <f>SUM(P79:P81)</f>
        <v>-569.46999999998661</v>
      </c>
      <c r="Q82" s="15"/>
      <c r="R82" s="34">
        <f>IF(P$12=0,0,P82/P$12)</f>
        <v>-1.4255567348900214E-3</v>
      </c>
      <c r="S82" s="15"/>
      <c r="T82" s="32">
        <f>SUM(T79:T81)</f>
        <v>-10924.112535954569</v>
      </c>
      <c r="U82" s="15"/>
      <c r="V82" s="34">
        <f>IF(T$12=0,0,T82/T$12)</f>
        <v>-2.0811678607198986E-2</v>
      </c>
      <c r="W82" s="17"/>
      <c r="X82" s="32">
        <f>+P82-T82</f>
        <v>10354.642535954583</v>
      </c>
      <c r="Y82" s="17"/>
      <c r="Z82" s="34">
        <f>IF(T82=0,0,X82/T82)</f>
        <v>-0.94787036492660726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6">
        <v>44694.888552430559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0" t="s">
        <v>298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1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568AE-3DA5-1254-99FC-DFC3B7A7A0D5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360D5-622C-6B99-4BEF-8844EC2F696C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1FA34-98FB-8ACF-00FA-132D67B48A9D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2" t="s">
        <v>276</v>
      </c>
    </row>
    <row r="3" spans="1:26" ht="15" customHeight="1" x14ac:dyDescent="0.3">
      <c r="D3" s="52" t="s">
        <v>277</v>
      </c>
      <c r="E3" s="18"/>
      <c r="F3" s="44"/>
      <c r="G3" s="18"/>
      <c r="H3" s="18"/>
      <c r="I3" s="18"/>
      <c r="J3" s="37"/>
      <c r="K3" s="18"/>
      <c r="L3" s="18"/>
      <c r="M3" s="18"/>
      <c r="N3" s="44"/>
      <c r="O3" s="54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ht="15" customHeight="1" x14ac:dyDescent="0.3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7"/>
      <c r="K4" s="18"/>
      <c r="L4" s="18"/>
      <c r="M4" s="18"/>
      <c r="N4" s="44"/>
      <c r="O4" s="54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7"/>
      <c r="K5" s="18"/>
      <c r="L5" s="18"/>
      <c r="M5" s="18"/>
      <c r="N5" s="44"/>
      <c r="O5" s="54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ht="15" customHeight="1" x14ac:dyDescent="0.3">
      <c r="A6" s="24"/>
      <c r="B6" s="45"/>
      <c r="C6" s="45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7"/>
      <c r="K6" s="18"/>
      <c r="L6" s="18"/>
      <c r="M6" s="18"/>
      <c r="N6" s="44"/>
      <c r="O6" s="58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ht="15" customHeight="1" x14ac:dyDescent="0.3">
      <c r="B7" s="53"/>
    </row>
    <row r="8" spans="1:26" ht="15" customHeight="1" x14ac:dyDescent="0.3">
      <c r="B8" s="53"/>
    </row>
    <row r="9" spans="1:26" ht="15" customHeight="1" x14ac:dyDescent="0.3">
      <c r="B9" s="10"/>
      <c r="C9" s="10"/>
      <c r="D9" s="16" t="s">
        <v>279</v>
      </c>
      <c r="E9" s="16"/>
      <c r="F9" s="36"/>
      <c r="G9" s="16"/>
      <c r="H9" s="16"/>
      <c r="I9" s="16"/>
      <c r="J9" s="43"/>
      <c r="K9" s="16"/>
      <c r="L9" s="16"/>
      <c r="M9" s="16"/>
      <c r="N9" s="36"/>
      <c r="P9" s="16" t="s">
        <v>280</v>
      </c>
      <c r="Q9" s="16"/>
      <c r="R9" s="36"/>
      <c r="S9" s="16"/>
      <c r="T9" s="16"/>
      <c r="U9" s="16"/>
      <c r="V9" s="43"/>
      <c r="W9" s="16"/>
      <c r="X9" s="16"/>
      <c r="Y9" s="16"/>
      <c r="Z9" s="36"/>
    </row>
    <row r="10" spans="1:26" ht="15" customHeight="1" x14ac:dyDescent="0.3">
      <c r="A10" s="11"/>
      <c r="B10" s="59"/>
      <c r="C10" s="11"/>
      <c r="D10" s="41" t="s">
        <v>281</v>
      </c>
      <c r="E10" s="31"/>
      <c r="F10" s="38" t="s">
        <v>282</v>
      </c>
      <c r="G10" s="31"/>
      <c r="H10" s="47" t="s">
        <v>283</v>
      </c>
      <c r="I10" s="31"/>
      <c r="J10" s="48" t="s">
        <v>284</v>
      </c>
      <c r="K10" s="11"/>
      <c r="L10" s="41" t="s">
        <v>285</v>
      </c>
      <c r="M10" s="11"/>
      <c r="N10" s="38" t="s">
        <v>286</v>
      </c>
      <c r="O10" s="11"/>
      <c r="P10" s="55" t="s">
        <v>281</v>
      </c>
      <c r="Q10" s="31"/>
      <c r="R10" s="38" t="s">
        <v>282</v>
      </c>
      <c r="S10" s="31"/>
      <c r="T10" s="47" t="s">
        <v>283</v>
      </c>
      <c r="U10" s="31"/>
      <c r="V10" s="48" t="s">
        <v>284</v>
      </c>
      <c r="W10" s="11"/>
      <c r="X10" s="41" t="s">
        <v>285</v>
      </c>
      <c r="Y10" s="11"/>
      <c r="Z10" s="38" t="s">
        <v>286</v>
      </c>
    </row>
    <row r="11" spans="1:26" ht="16.5" customHeight="1" x14ac:dyDescent="0.3">
      <c r="A11" s="10"/>
      <c r="B11" s="57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7"/>
      <c r="L18" s="21" t="e">
        <f ca="1">+D18-H18</f>
        <v>#NAME?</v>
      </c>
      <c r="M18" s="17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7"/>
      <c r="X18" s="21" t="e">
        <f ca="1">+P18-T18</f>
        <v>#NAME?</v>
      </c>
      <c r="Y18" s="17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3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ca="1">IF(H$12=0,0,H20/H$12)</f>
        <v>#NAME?</v>
      </c>
      <c r="K20" s="5"/>
      <c r="L20" s="22" t="e">
        <f ca="1">+D20-H20</f>
        <v>#NAME?</v>
      </c>
      <c r="M20" s="5"/>
      <c r="N20" s="33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3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ca="1">IF(T$12=0,0,T20/T$12)</f>
        <v>#NAME?</v>
      </c>
      <c r="W20" s="5"/>
      <c r="X20" s="22" t="e">
        <f ca="1">+P20-T20</f>
        <v>#NAME?</v>
      </c>
      <c r="Y20" s="5"/>
      <c r="Z20" s="33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7"/>
      <c r="L27" s="21" t="e">
        <f ca="1">+D27-H27</f>
        <v>#NAME?</v>
      </c>
      <c r="M27" s="17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7"/>
      <c r="X27" s="21" t="e">
        <f ca="1">+P27-T27</f>
        <v>#NAME?</v>
      </c>
      <c r="Y27" s="17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29" t="e">
        <f ca="1">+D27-D29</f>
        <v>#NAME?</v>
      </c>
      <c r="E31" s="15"/>
      <c r="F31" s="30" t="e">
        <f ca="1">IF(D$12=0,0,D31/D$12)</f>
        <v>#NAME?</v>
      </c>
      <c r="G31" s="15"/>
      <c r="H31" s="29" t="e">
        <f ca="1">+H27-H29</f>
        <v>#NAME?</v>
      </c>
      <c r="I31" s="15"/>
      <c r="J31" s="30" t="e">
        <f ca="1">IF(H$12=0,0,H31/H$12)</f>
        <v>#NAME?</v>
      </c>
      <c r="K31" s="17"/>
      <c r="L31" s="29" t="e">
        <f ca="1">D31-H31</f>
        <v>#NAME?</v>
      </c>
      <c r="M31" s="17"/>
      <c r="N31" s="30" t="e">
        <f ca="1">IF(H31=0,0,L31/H31)</f>
        <v>#NAME?</v>
      </c>
      <c r="O31" s="28"/>
      <c r="P31" s="29" t="e">
        <f ca="1">+P27-P29</f>
        <v>#NAME?</v>
      </c>
      <c r="Q31" s="15"/>
      <c r="R31" s="30" t="e">
        <f ca="1">IF(P$12=0,0,P31/P$12)</f>
        <v>#NAME?</v>
      </c>
      <c r="S31" s="15"/>
      <c r="T31" s="29" t="e">
        <f ca="1">+T27-T29</f>
        <v>#NAME?</v>
      </c>
      <c r="U31" s="15"/>
      <c r="V31" s="30" t="e">
        <f ca="1">IF(T$12=0,0,T31/T$12)</f>
        <v>#NAME?</v>
      </c>
      <c r="W31" s="17"/>
      <c r="X31" s="29" t="e">
        <f ca="1">P31-T31</f>
        <v>#NAME?</v>
      </c>
      <c r="Y31" s="17"/>
      <c r="Z31" s="30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4" t="e">
        <f ca="1">IF(D$12=0,0,D36/D$12)</f>
        <v>#NAME?</v>
      </c>
      <c r="G36" s="15"/>
      <c r="H36" s="32" t="e">
        <f ca="1">SUM(H31:H35)</f>
        <v>#NAME?</v>
      </c>
      <c r="I36" s="15"/>
      <c r="J36" s="34" t="e">
        <f ca="1">IF(H$12=0,0,H36/H$12)</f>
        <v>#NAME?</v>
      </c>
      <c r="K36" s="17"/>
      <c r="L36" s="32" t="e">
        <f ca="1">+D36-H36</f>
        <v>#NAME?</v>
      </c>
      <c r="M36" s="17"/>
      <c r="N36" s="34" t="e">
        <f ca="1">IF(H36=0,0,L36/H36)</f>
        <v>#NAME?</v>
      </c>
      <c r="O36" s="28"/>
      <c r="P36" s="32" t="e">
        <f ca="1">SUM(P31:P35)</f>
        <v>#NAME?</v>
      </c>
      <c r="Q36" s="15"/>
      <c r="R36" s="34" t="e">
        <f ca="1">IF(P$12=0,0,P36/P$12)</f>
        <v>#NAME?</v>
      </c>
      <c r="S36" s="15"/>
      <c r="T36" s="32" t="e">
        <f ca="1">SUM(T31:T35)</f>
        <v>#NAME?</v>
      </c>
      <c r="U36" s="15"/>
      <c r="V36" s="34" t="e">
        <f ca="1">IF(T$12=0,0,T36/T$12)</f>
        <v>#NAME?</v>
      </c>
      <c r="W36" s="17"/>
      <c r="X36" s="32" t="e">
        <f ca="1">+P36-T36</f>
        <v>#NAME?</v>
      </c>
      <c r="Y36" s="17"/>
      <c r="Z36" s="34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6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3662</vt:i4>
      </vt:variant>
    </vt:vector>
  </HeadingPairs>
  <TitlesOfParts>
    <vt:vector size="375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'415'!OSRRefD13x_0</vt:lpstr>
      <vt:lpstr>'418'!OSRRefD13x_0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'415'!OSRRefD16x_0</vt:lpstr>
      <vt:lpstr>'418'!OSRRefD16x_0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'321'!OSRRefD22_12x_0</vt:lpstr>
      <vt:lpstr>'325'!OSRRefD22_12x_0</vt:lpstr>
      <vt:lpstr>'326'!OSRRefD22_12x_0</vt:lpstr>
      <vt:lpstr>'331'!OSRRefD22_12x_0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'315'!OSRRefD22_18x_0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'331'!OSRRefD22_21x_0</vt:lpstr>
      <vt:lpstr>'333'!OSRRefD22_21x_0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'411'!OSRRefD22_4x_0</vt:lpstr>
      <vt:lpstr>'412'!OSRRefD22_4x_0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'415'!OSRRefH13x_0</vt:lpstr>
      <vt:lpstr>'418'!OSRRefH13x_0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'415'!OSRRefH16x_0</vt:lpstr>
      <vt:lpstr>'418'!OSRRefH16x_0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'321'!OSRRefH22_12x_0</vt:lpstr>
      <vt:lpstr>'325'!OSRRefH22_12x_0</vt:lpstr>
      <vt:lpstr>'326'!OSRRefH22_12x_0</vt:lpstr>
      <vt:lpstr>'331'!OSRRefH22_12x_0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'315'!OSRRefH22_18x_0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'331'!OSRRefH22_21x_0</vt:lpstr>
      <vt:lpstr>'333'!OSRRefH22_21x_0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'411'!OSRRefH22_4x_0</vt:lpstr>
      <vt:lpstr>'412'!OSRRefH22_4x_0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'415'!OSRRefP13x_0</vt:lpstr>
      <vt:lpstr>'418'!OSRRefP13x_0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'415'!OSRRefP16x_0</vt:lpstr>
      <vt:lpstr>'418'!OSRRefP16x_0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'321'!OSRRefP22_12x_0</vt:lpstr>
      <vt:lpstr>'325'!OSRRefP22_12x_0</vt:lpstr>
      <vt:lpstr>'326'!OSRRefP22_12x_0</vt:lpstr>
      <vt:lpstr>'331'!OSRRefP22_12x_0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'315'!OSRRefP22_18x_0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'331'!OSRRefP22_21x_0</vt:lpstr>
      <vt:lpstr>'333'!OSRRefP22_21x_0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'411'!OSRRefP22_4x_0</vt:lpstr>
      <vt:lpstr>'412'!OSRRefP22_4x_0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'415'!OSRRefT13x_0</vt:lpstr>
      <vt:lpstr>'418'!OSRRefT13x_0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'415'!OSRRefT16x_0</vt:lpstr>
      <vt:lpstr>'418'!OSRRefT16x_0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'321'!OSRRefT22_12x_0</vt:lpstr>
      <vt:lpstr>'325'!OSRRefT22_12x_0</vt:lpstr>
      <vt:lpstr>'326'!OSRRefT22_12x_0</vt:lpstr>
      <vt:lpstr>'331'!OSRRefT22_12x_0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'315'!OSRRefT22_18x_0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'331'!OSRRefT22_21x_0</vt:lpstr>
      <vt:lpstr>'333'!OSRRefT22_21x_0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'411'!OSRRefT22_4x_0</vt:lpstr>
      <vt:lpstr>'412'!OSRRefT22_4x_0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2022-05-13T21:21:55Z</dcterms:created>
  <dcterms:modified xsi:type="dcterms:W3CDTF">2022-05-13T22:26:43Z</dcterms:modified>
</cp:coreProperties>
</file>